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5360" windowHeight="7515" activeTab="1"/>
  </bookViews>
  <sheets>
    <sheet name="input" sheetId="6" r:id="rId1"/>
    <sheet name="output" sheetId="2" r:id="rId2"/>
  </sheets>
  <calcPr calcId="145621" concurrentCalc="0"/>
</workbook>
</file>

<file path=xl/calcChain.xml><?xml version="1.0" encoding="utf-8"?>
<calcChain xmlns="http://schemas.openxmlformats.org/spreadsheetml/2006/main">
  <c r="I40" i="6" l="1"/>
  <c r="J56" i="6"/>
  <c r="B9" i="2"/>
  <c r="E9" i="2"/>
  <c r="F9" i="2"/>
  <c r="C7" i="2"/>
  <c r="D7" i="2"/>
  <c r="E7" i="2"/>
  <c r="B7" i="2"/>
  <c r="F7" i="2"/>
  <c r="C12" i="2"/>
  <c r="D12" i="2"/>
  <c r="E12" i="2"/>
  <c r="B12" i="2"/>
  <c r="F12" i="2"/>
  <c r="E13" i="2"/>
  <c r="B13" i="2"/>
  <c r="F13" i="2"/>
  <c r="F14" i="2"/>
  <c r="I41" i="6"/>
  <c r="I42" i="6"/>
  <c r="I43" i="6"/>
  <c r="I44" i="6"/>
  <c r="I45" i="6"/>
  <c r="I46" i="6"/>
  <c r="F23" i="2"/>
  <c r="J50" i="6"/>
  <c r="C27" i="2"/>
  <c r="D27" i="2"/>
  <c r="F27" i="2"/>
  <c r="J51" i="6"/>
  <c r="C28" i="2"/>
  <c r="D28" i="2"/>
  <c r="F28" i="2"/>
  <c r="J52" i="6"/>
  <c r="C29" i="2"/>
  <c r="D29" i="2"/>
  <c r="F29" i="2"/>
  <c r="J53" i="6"/>
  <c r="C30" i="2"/>
  <c r="D30" i="2"/>
  <c r="F30" i="2"/>
  <c r="J54" i="6"/>
  <c r="C31" i="2"/>
  <c r="D31" i="2"/>
  <c r="F31" i="2"/>
  <c r="C32" i="2"/>
  <c r="D32" i="2"/>
  <c r="F32" i="2"/>
  <c r="B6" i="2"/>
  <c r="F33" i="2"/>
  <c r="F34" i="2"/>
  <c r="F37" i="2"/>
  <c r="F38" i="2"/>
  <c r="F39" i="2"/>
  <c r="F40" i="2"/>
  <c r="F41" i="2"/>
  <c r="F42" i="2"/>
  <c r="F43" i="2"/>
  <c r="F44" i="2"/>
  <c r="F45" i="2"/>
  <c r="F46" i="2"/>
  <c r="F49" i="2"/>
  <c r="F50" i="2"/>
  <c r="F51" i="2"/>
  <c r="F52" i="2"/>
  <c r="F53" i="2"/>
  <c r="B8" i="2"/>
  <c r="B10" i="2"/>
  <c r="B17" i="2"/>
  <c r="C17" i="2"/>
  <c r="B18" i="2"/>
  <c r="C18" i="2"/>
  <c r="B59" i="2"/>
  <c r="G50" i="2"/>
  <c r="G49" i="2"/>
  <c r="G44" i="2"/>
  <c r="D17" i="2"/>
  <c r="E17" i="2"/>
  <c r="F17" i="2"/>
  <c r="D18" i="2"/>
  <c r="E18" i="2"/>
  <c r="F18" i="2"/>
  <c r="F19" i="2"/>
  <c r="F54" i="2"/>
  <c r="E16" i="6"/>
  <c r="H89" i="6"/>
  <c r="D89" i="6"/>
  <c r="I89" i="6"/>
  <c r="E89" i="6"/>
  <c r="J89" i="6"/>
  <c r="K89" i="6"/>
  <c r="C90" i="6"/>
  <c r="C88" i="6"/>
  <c r="H88" i="6"/>
  <c r="D88" i="6"/>
  <c r="I88" i="6"/>
  <c r="K88" i="6"/>
  <c r="K90" i="6"/>
  <c r="C91" i="6"/>
  <c r="K91" i="6"/>
  <c r="H92" i="6"/>
  <c r="I92" i="6"/>
  <c r="J92" i="6"/>
  <c r="K92" i="6"/>
  <c r="K95" i="6"/>
  <c r="B65" i="2"/>
  <c r="C89" i="6"/>
  <c r="F89" i="6"/>
  <c r="F90" i="6"/>
  <c r="F88" i="6"/>
  <c r="F91" i="6"/>
  <c r="C92" i="6"/>
  <c r="D92" i="6"/>
  <c r="E92" i="6"/>
  <c r="F92" i="6"/>
  <c r="C93" i="6"/>
  <c r="D93" i="6"/>
  <c r="E93" i="6"/>
  <c r="F93" i="6"/>
  <c r="C94" i="6"/>
  <c r="F94" i="6"/>
  <c r="F95" i="6"/>
  <c r="B64" i="2"/>
  <c r="F65" i="2"/>
  <c r="J55" i="6"/>
  <c r="B11" i="2"/>
  <c r="B14" i="2"/>
  <c r="B57" i="2"/>
  <c r="B63" i="2"/>
  <c r="H91" i="6"/>
  <c r="H90" i="6"/>
  <c r="G14" i="6"/>
  <c r="G17" i="6"/>
  <c r="G10" i="6"/>
  <c r="G9" i="2"/>
  <c r="G7" i="2"/>
  <c r="G12" i="6"/>
  <c r="G9" i="6"/>
  <c r="B62" i="2"/>
  <c r="H46" i="6"/>
  <c r="J46" i="6"/>
  <c r="F83" i="6"/>
  <c r="F80" i="6"/>
  <c r="F72" i="6"/>
  <c r="F71" i="6"/>
  <c r="F70" i="6"/>
  <c r="F69" i="6"/>
  <c r="F67" i="6"/>
  <c r="F66" i="6"/>
  <c r="C33" i="2"/>
  <c r="F82" i="6"/>
  <c r="F81" i="6"/>
  <c r="F65" i="6"/>
  <c r="F68" i="6"/>
  <c r="C23" i="2"/>
  <c r="G12" i="2"/>
  <c r="G32" i="2"/>
  <c r="G51" i="2"/>
  <c r="G45" i="2"/>
  <c r="G41" i="2"/>
  <c r="G40" i="2"/>
  <c r="G38" i="2"/>
  <c r="G43" i="2"/>
  <c r="G39" i="2"/>
  <c r="G37" i="2"/>
  <c r="G42" i="2"/>
  <c r="G33" i="2"/>
  <c r="G30" i="2"/>
  <c r="G29" i="2"/>
  <c r="G27" i="2"/>
  <c r="G28" i="2"/>
  <c r="D23" i="2"/>
  <c r="G31" i="2"/>
  <c r="G23" i="2"/>
  <c r="G46" i="2"/>
  <c r="G52" i="2"/>
  <c r="B58" i="2"/>
  <c r="B60" i="2"/>
  <c r="G13" i="2"/>
  <c r="G34" i="2"/>
  <c r="G14" i="2"/>
  <c r="G19" i="2"/>
  <c r="G53" i="2"/>
  <c r="D58" i="2"/>
  <c r="D57" i="2"/>
  <c r="G54" i="2"/>
</calcChain>
</file>

<file path=xl/sharedStrings.xml><?xml version="1.0" encoding="utf-8"?>
<sst xmlns="http://schemas.openxmlformats.org/spreadsheetml/2006/main" count="276" uniqueCount="245">
  <si>
    <t>number</t>
  </si>
  <si>
    <t>Pasture Grazed</t>
  </si>
  <si>
    <t xml:space="preserve"> </t>
  </si>
  <si>
    <t xml:space="preserve">                #</t>
  </si>
  <si>
    <t>Bulls</t>
  </si>
  <si>
    <t>Cows</t>
  </si>
  <si>
    <t>Estimated Weights</t>
  </si>
  <si>
    <t>Acres</t>
  </si>
  <si>
    <t>Number of Cows</t>
  </si>
  <si>
    <t>Other Feed Stuffs ($)</t>
  </si>
  <si>
    <t>Price of Corn Silage ($/ton)</t>
  </si>
  <si>
    <t>Repairs</t>
  </si>
  <si>
    <t>Interest</t>
  </si>
  <si>
    <t>Others</t>
  </si>
  <si>
    <t>Misc</t>
  </si>
  <si>
    <t>Typical range $12.00 - $17.00</t>
  </si>
  <si>
    <t>Typical range 10% - 15% per year</t>
  </si>
  <si>
    <t>Typical range 3% - 4% per year</t>
  </si>
  <si>
    <t>Total</t>
  </si>
  <si>
    <t>per head</t>
  </si>
  <si>
    <t>Veterinary ($)</t>
  </si>
  <si>
    <t>Supplies ($)</t>
  </si>
  <si>
    <t>Fuel and oil ($)</t>
  </si>
  <si>
    <t>Repairs ($)</t>
  </si>
  <si>
    <t>Interest ($)</t>
  </si>
  <si>
    <t>Marketing ($)</t>
  </si>
  <si>
    <t>Other Expenses ($)</t>
  </si>
  <si>
    <t>Hired labor ($)</t>
  </si>
  <si>
    <t>Insurance ($)</t>
  </si>
  <si>
    <t>Utilities ($)</t>
  </si>
  <si>
    <t>Miscellaneous ($)</t>
  </si>
  <si>
    <t>Corn Silage (ton)</t>
  </si>
  <si>
    <t>Total feed cost</t>
  </si>
  <si>
    <t>Total overhead cost</t>
  </si>
  <si>
    <t>Total expense</t>
  </si>
  <si>
    <t>Per head</t>
  </si>
  <si>
    <t>Total receipts</t>
  </si>
  <si>
    <t>Net Profit</t>
  </si>
  <si>
    <t>Education Program.</t>
  </si>
  <si>
    <t>Typical range (6.8-7.8 acre/head)</t>
  </si>
  <si>
    <t>Typical range $17.00-$25.00</t>
  </si>
  <si>
    <t>Typical range $7.00-$11.00</t>
  </si>
  <si>
    <t>Typical range $28.00-$33.00</t>
  </si>
  <si>
    <t>Typical range $29.00-$33.00</t>
  </si>
  <si>
    <t>Typical range $11.00-$13.00</t>
  </si>
  <si>
    <t>Typical range $5.00-$8.00</t>
  </si>
  <si>
    <t>Typical range $5.00-$7.00</t>
  </si>
  <si>
    <t>Typical range $7.50 -$11.00</t>
  </si>
  <si>
    <t>Typical range $8.00 -$11.00</t>
  </si>
  <si>
    <t>Location/owner</t>
  </si>
  <si>
    <t>Cost</t>
  </si>
  <si>
    <t>Typical range ($36-$45/head/year)</t>
  </si>
  <si>
    <t>Typical range (0.25-0.5 tons/head)</t>
  </si>
  <si>
    <t>Typical range (0.5-0.7 tons/head)</t>
  </si>
  <si>
    <t>Typical range (21-60 bushels/head)</t>
  </si>
  <si>
    <t>Typical range (0.5- 1.0 tons/head)</t>
  </si>
  <si>
    <t>Typical range (195-220)</t>
  </si>
  <si>
    <t>Typical range (25% - 33%)</t>
  </si>
  <si>
    <t>Days Fed</t>
  </si>
  <si>
    <t>Typical weaning range (85% - 92%)</t>
  </si>
  <si>
    <t>Loan Payments</t>
  </si>
  <si>
    <t>Typical range $28.00 - $51.00</t>
  </si>
  <si>
    <t>Sold</t>
  </si>
  <si>
    <t>Replaced</t>
  </si>
  <si>
    <t>Dead</t>
  </si>
  <si>
    <t>Avg price ($)</t>
  </si>
  <si>
    <t>Avg calf wt (lb)</t>
  </si>
  <si>
    <t>Weaned (%)</t>
  </si>
  <si>
    <t>Cost/cow ($)</t>
  </si>
  <si>
    <t>Cost/calf ($)</t>
  </si>
  <si>
    <t>price (lb)</t>
  </si>
  <si>
    <t>value ($)</t>
  </si>
  <si>
    <t>weight (lb)</t>
  </si>
  <si>
    <t>Herd maintaince</t>
  </si>
  <si>
    <t>price ($)</t>
  </si>
  <si>
    <t>price/acre ($)</t>
  </si>
  <si>
    <t xml:space="preserve">Complete Ration ($) </t>
  </si>
  <si>
    <t>price/unit</t>
  </si>
  <si>
    <t>Typical range (2.2-2.8 tons/head)</t>
  </si>
  <si>
    <t>Summary</t>
  </si>
  <si>
    <t>Direct expense</t>
  </si>
  <si>
    <t>Overhead expense</t>
  </si>
  <si>
    <t>Feed  and bedding expense</t>
  </si>
  <si>
    <t>Calves</t>
  </si>
  <si>
    <t>Fuel &amp; oil</t>
  </si>
  <si>
    <t>Utilities</t>
  </si>
  <si>
    <t>Trucking</t>
  </si>
  <si>
    <t>Supplies</t>
  </si>
  <si>
    <t>Paid labor</t>
  </si>
  <si>
    <t>Insurance</t>
  </si>
  <si>
    <t>Loan payments</t>
  </si>
  <si>
    <t>Veterinary</t>
  </si>
  <si>
    <t>Tons of Corn Silage/herd</t>
  </si>
  <si>
    <t>Feed Costs (per herd)</t>
  </si>
  <si>
    <t>Estimated Prices</t>
  </si>
  <si>
    <t>Replacements</t>
  </si>
  <si>
    <t>Pasture</t>
  </si>
  <si>
    <t>Pattens</t>
  </si>
  <si>
    <t>Tree Claim</t>
  </si>
  <si>
    <t>Morton</t>
  </si>
  <si>
    <t>Price of Grain ($/bushel)</t>
  </si>
  <si>
    <t>Other Feed ($/ton)</t>
  </si>
  <si>
    <t>Other Feed ton/herd</t>
  </si>
  <si>
    <t>The feed part of the budget enterprise does not balance the feed ration.</t>
  </si>
  <si>
    <t>Typical ranges are give from the North Dakota Farm and Ranch Business</t>
  </si>
  <si>
    <t>Management Education program. Prices are your best estimate of</t>
  </si>
  <si>
    <t>current and future feed prices.</t>
  </si>
  <si>
    <t>Other Direct Expense</t>
  </si>
  <si>
    <t>(per herd)</t>
  </si>
  <si>
    <t>Overhead Expenses</t>
  </si>
  <si>
    <t>Direct expenses are on a per herd basis.</t>
  </si>
  <si>
    <t>The per head basis is calculated. A typical</t>
  </si>
  <si>
    <t>range is gived from North Dakota Farm</t>
  </si>
  <si>
    <t>and Ranch Business Management</t>
  </si>
  <si>
    <t>Overhead expenses are on a per herd basis.</t>
  </si>
  <si>
    <t>Typical Range</t>
  </si>
  <si>
    <t>$63.00-$180.00</t>
  </si>
  <si>
    <t>Other feeds (ton)</t>
  </si>
  <si>
    <t>$310.70-$534.00</t>
  </si>
  <si>
    <t>$17.00-$25.00</t>
  </si>
  <si>
    <t xml:space="preserve"> $42.00-$84.00</t>
  </si>
  <si>
    <t>$145.20-$184.80</t>
  </si>
  <si>
    <t>$10.50-$21.00</t>
  </si>
  <si>
    <t>$14.00-$19.20</t>
  </si>
  <si>
    <t>$36.00-$45.00</t>
  </si>
  <si>
    <t>$108.80-$124.80</t>
  </si>
  <si>
    <t>$28.00-$33.00</t>
  </si>
  <si>
    <t>$8.00-$11.00</t>
  </si>
  <si>
    <t>Typical range $1.50-$2.50</t>
  </si>
  <si>
    <t>$1.50-$2.50</t>
  </si>
  <si>
    <t>$7.00-$11.00</t>
  </si>
  <si>
    <t>$29.00-$33.00</t>
  </si>
  <si>
    <t>$11.00-$13.00</t>
  </si>
  <si>
    <t>$5.00-$8.00</t>
  </si>
  <si>
    <t>$106.50-$136.50</t>
  </si>
  <si>
    <t>$5.00-$7.00</t>
  </si>
  <si>
    <t>$7.50-$11.00</t>
  </si>
  <si>
    <t>$12.00-$17.00</t>
  </si>
  <si>
    <t>$28.00-$51.00</t>
  </si>
  <si>
    <t>$52.50-$86.00</t>
  </si>
  <si>
    <t>$578.85-$881.30</t>
  </si>
  <si>
    <t>$-110.00-$-179.20</t>
  </si>
  <si>
    <t>$805.50-$1099.80</t>
  </si>
  <si>
    <t>$529.50-$652.50</t>
  </si>
  <si>
    <t>$569.50-$717.00</t>
  </si>
  <si>
    <t>$1.64-$1.78</t>
  </si>
  <si>
    <t>$1.22-$1.69</t>
  </si>
  <si>
    <t>Number of Bulls</t>
  </si>
  <si>
    <t>Typical range (1 bull per 27 cows)</t>
  </si>
  <si>
    <t>Herd Maintance</t>
  </si>
  <si>
    <t>Home</t>
  </si>
  <si>
    <t>Eds</t>
  </si>
  <si>
    <t>South</t>
  </si>
  <si>
    <t>Bulls ($/head)</t>
  </si>
  <si>
    <t>Heifers ($/head)</t>
  </si>
  <si>
    <t>Calculated</t>
  </si>
  <si>
    <t>Values</t>
  </si>
  <si>
    <t>$27.00-$349.00</t>
  </si>
  <si>
    <t>Cull Cows ($/lb)</t>
  </si>
  <si>
    <t>Cull Bulls ($/lb)</t>
  </si>
  <si>
    <t>Heifer calves (lbs)</t>
  </si>
  <si>
    <t>Steer calves (lbs)</t>
  </si>
  <si>
    <t>Cull Cows (lbs)</t>
  </si>
  <si>
    <t>Cull Bulls (lbs)</t>
  </si>
  <si>
    <t>is from the North Dakota Farm</t>
  </si>
  <si>
    <t>values.</t>
  </si>
  <si>
    <t>Yellow squares are calculated</t>
  </si>
  <si>
    <t xml:space="preserve">Prices and weights are inserted </t>
  </si>
  <si>
    <t>which are your best estimates</t>
  </si>
  <si>
    <t>of the future.</t>
  </si>
  <si>
    <t>It is asummed the the heifer/</t>
  </si>
  <si>
    <t>steer calf split is 50/50.</t>
  </si>
  <si>
    <t>Replacement bulls and heifers</t>
  </si>
  <si>
    <t>are on a per head basis.</t>
  </si>
  <si>
    <t>(per head</t>
  </si>
  <si>
    <t>Bushels of Grain/herd</t>
  </si>
  <si>
    <t>calculated)</t>
  </si>
  <si>
    <t xml:space="preserve">(per head </t>
  </si>
  <si>
    <t>Culls</t>
  </si>
  <si>
    <t>Steers</t>
  </si>
  <si>
    <t>Heifers</t>
  </si>
  <si>
    <t>Type</t>
  </si>
  <si>
    <t>Total direct cost</t>
  </si>
  <si>
    <t>total acres</t>
  </si>
  <si>
    <t>Typical range ($14-$17/acre)</t>
  </si>
  <si>
    <t>Pasture Rent</t>
  </si>
  <si>
    <t>Number of Culls</t>
  </si>
  <si>
    <t>Number of Deaths</t>
  </si>
  <si>
    <t>Heifer Calves ($/lb)</t>
  </si>
  <si>
    <t>Value of Herd</t>
  </si>
  <si>
    <t>Replacement Bulls</t>
  </si>
  <si>
    <t>Replacement Heifers</t>
  </si>
  <si>
    <t>Heifer calves</t>
  </si>
  <si>
    <t>Steer Calves</t>
  </si>
  <si>
    <t>Bull Calves</t>
  </si>
  <si>
    <t>Number</t>
  </si>
  <si>
    <t>Value</t>
  </si>
  <si>
    <t>Weight</t>
  </si>
  <si>
    <t>Beginning</t>
  </si>
  <si>
    <t>Ending</t>
  </si>
  <si>
    <t>Number of Repl Heifers (Bought)</t>
  </si>
  <si>
    <t>Number of Repl Heifers (Raised)</t>
  </si>
  <si>
    <t>Number of Repl Bulls (bought)</t>
  </si>
  <si>
    <t>Number of Repl Bulls (raised)</t>
  </si>
  <si>
    <t>Number of Bulls (sold)</t>
  </si>
  <si>
    <t>Your values are placed in the</t>
  </si>
  <si>
    <t xml:space="preserve">green squares. </t>
  </si>
  <si>
    <t>Number of Heifer calves (sold)</t>
  </si>
  <si>
    <t>Number of Steer calves (sold)</t>
  </si>
  <si>
    <t>Number of heifer calves (kept)</t>
  </si>
  <si>
    <t>Number of steer calves (kept)</t>
  </si>
  <si>
    <t>Beginning herd value</t>
  </si>
  <si>
    <t>Ending herd value</t>
  </si>
  <si>
    <t>Steer Calves ($/lb)</t>
  </si>
  <si>
    <t>Cow Value ($/head)</t>
  </si>
  <si>
    <t>Break Even($)</t>
  </si>
  <si>
    <t>Grain (bu)</t>
  </si>
  <si>
    <t>Per herd value</t>
  </si>
  <si>
    <t>Typical range 7% -12% Per year*</t>
  </si>
  <si>
    <t>*A typical range is shown which</t>
  </si>
  <si>
    <t>and Ranch Management, west</t>
  </si>
  <si>
    <t>region</t>
  </si>
  <si>
    <t>Red texts are calculated from</t>
  </si>
  <si>
    <t>previous entries and can not</t>
  </si>
  <si>
    <t>be changed</t>
  </si>
  <si>
    <t>Net profit with inventory change</t>
  </si>
  <si>
    <t>Beginning herd number</t>
  </si>
  <si>
    <t>Ending herd number</t>
  </si>
  <si>
    <t>Developed by Richard Taylor and John Dhuyvetter</t>
  </si>
  <si>
    <t>Input Values for Cow Herd Budget</t>
  </si>
  <si>
    <t>Output Values for Cow Herd Budget</t>
  </si>
  <si>
    <t>For more information contact Richard Taylor at 701-231-7990 or richard.taylor@ndsu.edu</t>
  </si>
  <si>
    <t>or John Dhuyvetter at 701-857-7682 or john.dhuyvetter@ndsu.edu</t>
  </si>
  <si>
    <t>Alfalfa hay (ton)/(bale)</t>
  </si>
  <si>
    <t>Grass hay (ton)/(bale)</t>
  </si>
  <si>
    <t>Straw (ton)/(bale)</t>
  </si>
  <si>
    <t>Replace Bred Heifer</t>
  </si>
  <si>
    <t>Raised Bred Heifer</t>
  </si>
  <si>
    <t>*Or bales</t>
  </si>
  <si>
    <t>Price of Alfalfa ($/ton*)</t>
  </si>
  <si>
    <t>Price of Bedding ($/ton*)</t>
  </si>
  <si>
    <t>Price of Grass hay ($/ton*)</t>
  </si>
  <si>
    <t>Tons* of Alfalfa hay/herd</t>
  </si>
  <si>
    <t>Tons* of Grass hay/herd</t>
  </si>
  <si>
    <t>Tons* of Bedding/herd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</si>
</sst>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48"/>
      <color theme="7" tint="0.3999755851924192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2" xfId="0" applyBorder="1"/>
    <xf numFmtId="3" fontId="0" fillId="0" borderId="0" xfId="0" applyNumberFormat="1" applyBorder="1"/>
    <xf numFmtId="0" fontId="0" fillId="0" borderId="10" xfId="0" applyBorder="1"/>
    <xf numFmtId="0" fontId="0" fillId="0" borderId="12" xfId="0" applyBorder="1"/>
    <xf numFmtId="0" fontId="0" fillId="5" borderId="0" xfId="0" applyFill="1"/>
    <xf numFmtId="2" fontId="0" fillId="5" borderId="0" xfId="0" applyNumberFormat="1" applyFill="1" applyBorder="1"/>
    <xf numFmtId="0" fontId="0" fillId="0" borderId="9" xfId="0" applyBorder="1"/>
    <xf numFmtId="2" fontId="0" fillId="6" borderId="9" xfId="0" applyNumberFormat="1" applyFill="1" applyBorder="1"/>
    <xf numFmtId="0" fontId="8" fillId="0" borderId="0" xfId="0" applyFont="1"/>
    <xf numFmtId="3" fontId="1" fillId="7" borderId="10" xfId="0" applyNumberFormat="1" applyFont="1" applyFill="1" applyBorder="1"/>
    <xf numFmtId="2" fontId="0" fillId="3" borderId="12" xfId="0" applyNumberFormat="1" applyFill="1" applyBorder="1"/>
    <xf numFmtId="3" fontId="8" fillId="4" borderId="10" xfId="0" applyNumberFormat="1" applyFont="1" applyFill="1" applyBorder="1"/>
    <xf numFmtId="0" fontId="0" fillId="0" borderId="19" xfId="0" applyBorder="1"/>
    <xf numFmtId="0" fontId="0" fillId="5" borderId="0" xfId="0" applyFill="1" applyBorder="1"/>
    <xf numFmtId="0" fontId="9" fillId="5" borderId="0" xfId="0" applyFont="1" applyFill="1" applyBorder="1"/>
    <xf numFmtId="0" fontId="1" fillId="5" borderId="0" xfId="0" applyFont="1" applyFill="1" applyBorder="1"/>
    <xf numFmtId="0" fontId="0" fillId="0" borderId="21" xfId="0" applyBorder="1"/>
    <xf numFmtId="0" fontId="0" fillId="0" borderId="22" xfId="0" applyBorder="1"/>
    <xf numFmtId="0" fontId="0" fillId="5" borderId="9" xfId="0" applyFill="1" applyBorder="1"/>
    <xf numFmtId="3" fontId="1" fillId="5" borderId="0" xfId="0" applyNumberFormat="1" applyFont="1" applyFill="1" applyBorder="1"/>
    <xf numFmtId="3" fontId="0" fillId="3" borderId="12" xfId="0" applyNumberFormat="1" applyFill="1" applyBorder="1"/>
    <xf numFmtId="0" fontId="0" fillId="5" borderId="11" xfId="0" applyFill="1" applyBorder="1"/>
    <xf numFmtId="3" fontId="10" fillId="5" borderId="26" xfId="0" applyNumberFormat="1" applyFont="1" applyFill="1" applyBorder="1"/>
    <xf numFmtId="43" fontId="1" fillId="5" borderId="13" xfId="0" applyNumberFormat="1" applyFont="1" applyFill="1" applyBorder="1"/>
    <xf numFmtId="2" fontId="0" fillId="3" borderId="9" xfId="0" applyNumberFormat="1" applyFill="1" applyBorder="1"/>
    <xf numFmtId="2" fontId="0" fillId="2" borderId="9" xfId="0" applyNumberFormat="1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0" xfId="0" applyFill="1" applyBorder="1" applyAlignment="1">
      <alignment horizontal="center"/>
    </xf>
    <xf numFmtId="0" fontId="2" fillId="5" borderId="0" xfId="0" applyFont="1" applyFill="1" applyBorder="1"/>
    <xf numFmtId="3" fontId="0" fillId="5" borderId="0" xfId="0" applyNumberFormat="1" applyFill="1" applyBorder="1"/>
    <xf numFmtId="2" fontId="0" fillId="5" borderId="20" xfId="0" applyNumberFormat="1" applyFill="1" applyBorder="1" applyAlignment="1">
      <alignment horizontal="center"/>
    </xf>
    <xf numFmtId="2" fontId="0" fillId="5" borderId="20" xfId="0" quotePrefix="1" applyNumberFormat="1" applyFill="1" applyBorder="1" applyAlignment="1">
      <alignment horizontal="center"/>
    </xf>
    <xf numFmtId="0" fontId="0" fillId="5" borderId="20" xfId="0" quotePrefix="1" applyFill="1" applyBorder="1" applyAlignment="1">
      <alignment horizontal="center"/>
    </xf>
    <xf numFmtId="0" fontId="0" fillId="5" borderId="22" xfId="0" applyFill="1" applyBorder="1"/>
    <xf numFmtId="0" fontId="0" fillId="5" borderId="23" xfId="0" applyFill="1" applyBorder="1"/>
    <xf numFmtId="0" fontId="0" fillId="5" borderId="18" xfId="0" applyFill="1" applyBorder="1"/>
    <xf numFmtId="0" fontId="0" fillId="5" borderId="16" xfId="0" applyFill="1" applyBorder="1"/>
    <xf numFmtId="0" fontId="0" fillId="5" borderId="17" xfId="0" applyFill="1" applyBorder="1"/>
    <xf numFmtId="3" fontId="8" fillId="4" borderId="9" xfId="0" applyNumberFormat="1" applyFont="1" applyFill="1" applyBorder="1"/>
    <xf numFmtId="3" fontId="8" fillId="5" borderId="11" xfId="0" applyNumberFormat="1" applyFont="1" applyFill="1" applyBorder="1"/>
    <xf numFmtId="2" fontId="0" fillId="5" borderId="11" xfId="0" applyNumberFormat="1" applyFill="1" applyBorder="1"/>
    <xf numFmtId="2" fontId="0" fillId="5" borderId="12" xfId="0" applyNumberFormat="1" applyFill="1" applyBorder="1"/>
    <xf numFmtId="0" fontId="8" fillId="5" borderId="11" xfId="0" applyFont="1" applyFill="1" applyBorder="1"/>
    <xf numFmtId="3" fontId="1" fillId="7" borderId="9" xfId="0" applyNumberFormat="1" applyFont="1" applyFill="1" applyBorder="1"/>
    <xf numFmtId="2" fontId="9" fillId="10" borderId="9" xfId="0" applyNumberFormat="1" applyFont="1" applyFill="1" applyBorder="1"/>
    <xf numFmtId="3" fontId="8" fillId="4" borderId="11" xfId="0" applyNumberFormat="1" applyFont="1" applyFill="1" applyBorder="1"/>
    <xf numFmtId="2" fontId="0" fillId="6" borderId="11" xfId="0" applyNumberFormat="1" applyFill="1" applyBorder="1"/>
    <xf numFmtId="0" fontId="1" fillId="5" borderId="12" xfId="0" applyFont="1" applyFill="1" applyBorder="1"/>
    <xf numFmtId="3" fontId="1" fillId="5" borderId="9" xfId="0" applyNumberFormat="1" applyFont="1" applyFill="1" applyBorder="1"/>
    <xf numFmtId="2" fontId="1" fillId="5" borderId="9" xfId="0" applyNumberFormat="1" applyFont="1" applyFill="1" applyBorder="1"/>
    <xf numFmtId="3" fontId="1" fillId="5" borderId="10" xfId="0" applyNumberFormat="1" applyFont="1" applyFill="1" applyBorder="1"/>
    <xf numFmtId="0" fontId="8" fillId="5" borderId="12" xfId="0" applyFont="1" applyFill="1" applyBorder="1"/>
    <xf numFmtId="1" fontId="1" fillId="5" borderId="12" xfId="0" applyNumberFormat="1" applyFont="1" applyFill="1" applyBorder="1"/>
    <xf numFmtId="4" fontId="1" fillId="5" borderId="11" xfId="0" applyNumberFormat="1" applyFont="1" applyFill="1" applyBorder="1"/>
    <xf numFmtId="3" fontId="1" fillId="5" borderId="11" xfId="0" applyNumberFormat="1" applyFont="1" applyFill="1" applyBorder="1"/>
    <xf numFmtId="1" fontId="8" fillId="5" borderId="12" xfId="0" applyNumberFormat="1" applyFont="1" applyFill="1" applyBorder="1"/>
    <xf numFmtId="3" fontId="1" fillId="5" borderId="12" xfId="0" applyNumberFormat="1" applyFont="1" applyFill="1" applyBorder="1"/>
    <xf numFmtId="3" fontId="8" fillId="5" borderId="9" xfId="0" applyNumberFormat="1" applyFont="1" applyFill="1" applyBorder="1"/>
    <xf numFmtId="43" fontId="1" fillId="5" borderId="9" xfId="0" applyNumberFormat="1" applyFont="1" applyFill="1" applyBorder="1"/>
    <xf numFmtId="2" fontId="8" fillId="5" borderId="9" xfId="0" applyNumberFormat="1" applyFont="1" applyFill="1" applyBorder="1"/>
    <xf numFmtId="2" fontId="0" fillId="5" borderId="27" xfId="0" applyNumberFormat="1" applyFill="1" applyBorder="1"/>
    <xf numFmtId="2" fontId="10" fillId="5" borderId="12" xfId="0" applyNumberFormat="1" applyFont="1" applyFill="1" applyBorder="1"/>
    <xf numFmtId="2" fontId="8" fillId="5" borderId="12" xfId="0" applyNumberFormat="1" applyFont="1" applyFill="1" applyBorder="1"/>
    <xf numFmtId="2" fontId="8" fillId="5" borderId="11" xfId="0" applyNumberFormat="1" applyFont="1" applyFill="1" applyBorder="1"/>
    <xf numFmtId="3" fontId="8" fillId="5" borderId="15" xfId="0" applyNumberFormat="1" applyFont="1" applyFill="1" applyBorder="1"/>
    <xf numFmtId="3" fontId="12" fillId="4" borderId="9" xfId="0" applyNumberFormat="1" applyFont="1" applyFill="1" applyBorder="1"/>
    <xf numFmtId="0" fontId="0" fillId="11" borderId="12" xfId="0" applyFill="1" applyBorder="1"/>
    <xf numFmtId="0" fontId="0" fillId="11" borderId="28" xfId="0" applyFill="1" applyBorder="1"/>
    <xf numFmtId="0" fontId="0" fillId="11" borderId="19" xfId="0" applyFill="1" applyBorder="1"/>
    <xf numFmtId="0" fontId="0" fillId="11" borderId="27" xfId="0" applyFill="1" applyBorder="1"/>
    <xf numFmtId="0" fontId="9" fillId="11" borderId="9" xfId="0" applyFont="1" applyFill="1" applyBorder="1"/>
    <xf numFmtId="43" fontId="2" fillId="11" borderId="28" xfId="0" applyNumberFormat="1" applyFont="1" applyFill="1" applyBorder="1"/>
    <xf numFmtId="0" fontId="7" fillId="11" borderId="28" xfId="0" applyFont="1" applyFill="1" applyBorder="1"/>
    <xf numFmtId="0" fontId="2" fillId="11" borderId="28" xfId="0" applyFont="1" applyFill="1" applyBorder="1"/>
    <xf numFmtId="0" fontId="7" fillId="11" borderId="30" xfId="0" applyFont="1" applyFill="1" applyBorder="1"/>
    <xf numFmtId="0" fontId="4" fillId="11" borderId="29" xfId="0" applyFont="1" applyFill="1" applyBorder="1"/>
    <xf numFmtId="0" fontId="4" fillId="11" borderId="30" xfId="0" applyFont="1" applyFill="1" applyBorder="1"/>
    <xf numFmtId="0" fontId="9" fillId="11" borderId="28" xfId="0" applyFont="1" applyFill="1" applyBorder="1"/>
    <xf numFmtId="2" fontId="0" fillId="11" borderId="28" xfId="0" applyNumberFormat="1" applyFill="1" applyBorder="1"/>
    <xf numFmtId="0" fontId="0" fillId="11" borderId="14" xfId="0" applyFill="1" applyBorder="1"/>
    <xf numFmtId="0" fontId="0" fillId="11" borderId="15" xfId="0" applyFill="1" applyBorder="1"/>
    <xf numFmtId="0" fontId="0" fillId="11" borderId="10" xfId="0" applyFill="1" applyBorder="1"/>
    <xf numFmtId="0" fontId="0" fillId="11" borderId="11" xfId="0" applyFill="1" applyBorder="1"/>
    <xf numFmtId="0" fontId="13" fillId="5" borderId="17" xfId="0" applyFont="1" applyFill="1" applyBorder="1"/>
    <xf numFmtId="0" fontId="0" fillId="11" borderId="38" xfId="0" applyFill="1" applyBorder="1"/>
    <xf numFmtId="0" fontId="16" fillId="5" borderId="19" xfId="0" applyFont="1" applyFill="1" applyBorder="1"/>
    <xf numFmtId="0" fontId="16" fillId="5" borderId="0" xfId="0" applyFont="1" applyFill="1" applyBorder="1"/>
    <xf numFmtId="0" fontId="0" fillId="5" borderId="0" xfId="0" applyFill="1" applyBorder="1" applyProtection="1"/>
    <xf numFmtId="0" fontId="14" fillId="0" borderId="39" xfId="0" applyFont="1" applyBorder="1" applyProtection="1"/>
    <xf numFmtId="0" fontId="15" fillId="0" borderId="40" xfId="0" applyFont="1" applyBorder="1" applyProtection="1"/>
    <xf numFmtId="0" fontId="0" fillId="0" borderId="40" xfId="0" applyBorder="1" applyProtection="1"/>
    <xf numFmtId="0" fontId="0" fillId="0" borderId="41" xfId="0" applyBorder="1" applyProtection="1"/>
    <xf numFmtId="0" fontId="0" fillId="0" borderId="0" xfId="0" applyProtection="1"/>
    <xf numFmtId="0" fontId="17" fillId="0" borderId="0" xfId="0" applyFont="1" applyProtection="1"/>
    <xf numFmtId="0" fontId="17" fillId="0" borderId="0" xfId="0" applyFont="1" applyBorder="1" applyProtection="1"/>
    <xf numFmtId="0" fontId="11" fillId="0" borderId="0" xfId="0" applyFont="1" applyProtection="1"/>
    <xf numFmtId="0" fontId="5" fillId="5" borderId="1" xfId="0" applyFont="1" applyFill="1" applyBorder="1" applyProtection="1"/>
    <xf numFmtId="0" fontId="5" fillId="5" borderId="2" xfId="0" applyFont="1" applyFill="1" applyBorder="1" applyProtection="1"/>
    <xf numFmtId="0" fontId="0" fillId="5" borderId="2" xfId="0" applyFill="1" applyBorder="1" applyProtection="1"/>
    <xf numFmtId="0" fontId="0" fillId="5" borderId="1" xfId="0" applyFill="1" applyBorder="1" applyProtection="1"/>
    <xf numFmtId="0" fontId="0" fillId="5" borderId="3" xfId="0" applyFill="1" applyBorder="1" applyProtection="1"/>
    <xf numFmtId="0" fontId="0" fillId="5" borderId="4" xfId="0" applyFill="1" applyBorder="1" applyProtection="1"/>
    <xf numFmtId="0" fontId="0" fillId="5" borderId="0" xfId="0" applyFill="1" applyProtection="1"/>
    <xf numFmtId="0" fontId="0" fillId="5" borderId="5" xfId="0" applyFill="1" applyBorder="1" applyProtection="1"/>
    <xf numFmtId="0" fontId="0" fillId="5" borderId="10" xfId="0" applyFill="1" applyBorder="1" applyProtection="1"/>
    <xf numFmtId="0" fontId="0" fillId="5" borderId="11" xfId="0" applyFill="1" applyBorder="1" applyProtection="1"/>
    <xf numFmtId="0" fontId="0" fillId="5" borderId="12" xfId="0" applyFill="1" applyBorder="1" applyProtection="1"/>
    <xf numFmtId="0" fontId="0" fillId="9" borderId="12" xfId="0" applyFill="1" applyBorder="1" applyProtection="1"/>
    <xf numFmtId="0" fontId="0" fillId="0" borderId="0" xfId="0" applyBorder="1" applyProtection="1"/>
    <xf numFmtId="1" fontId="0" fillId="9" borderId="12" xfId="0" applyNumberFormat="1" applyFill="1" applyBorder="1" applyProtection="1"/>
    <xf numFmtId="0" fontId="0" fillId="9" borderId="9" xfId="0" applyFill="1" applyBorder="1" applyProtection="1"/>
    <xf numFmtId="9" fontId="0" fillId="5" borderId="0" xfId="0" applyNumberFormat="1" applyFill="1" applyBorder="1" applyProtection="1"/>
    <xf numFmtId="0" fontId="0" fillId="5" borderId="6" xfId="0" applyFill="1" applyBorder="1" applyProtection="1"/>
    <xf numFmtId="0" fontId="0" fillId="5" borderId="7" xfId="0" applyFill="1" applyBorder="1" applyProtection="1"/>
    <xf numFmtId="0" fontId="0" fillId="5" borderId="8" xfId="0" applyFill="1" applyBorder="1" applyProtection="1"/>
    <xf numFmtId="0" fontId="11" fillId="5" borderId="1" xfId="0" applyFont="1" applyFill="1" applyBorder="1" applyProtection="1"/>
    <xf numFmtId="0" fontId="9" fillId="5" borderId="2" xfId="0" applyFont="1" applyFill="1" applyBorder="1" applyProtection="1"/>
    <xf numFmtId="0" fontId="11" fillId="5" borderId="2" xfId="0" applyFont="1" applyFill="1" applyBorder="1" applyProtection="1"/>
    <xf numFmtId="2" fontId="0" fillId="9" borderId="12" xfId="0" applyNumberFormat="1" applyFill="1" applyBorder="1" applyProtection="1"/>
    <xf numFmtId="0" fontId="0" fillId="0" borderId="10" xfId="0" applyBorder="1" applyProtection="1"/>
    <xf numFmtId="0" fontId="0" fillId="0" borderId="12" xfId="0" applyBorder="1" applyProtection="1"/>
    <xf numFmtId="3" fontId="0" fillId="9" borderId="12" xfId="0" applyNumberFormat="1" applyFill="1" applyBorder="1" applyProtection="1"/>
    <xf numFmtId="2" fontId="0" fillId="5" borderId="11" xfId="0" applyNumberFormat="1" applyFill="1" applyBorder="1" applyProtection="1"/>
    <xf numFmtId="0" fontId="11" fillId="5" borderId="4" xfId="0" applyFont="1" applyFill="1" applyBorder="1" applyProtection="1"/>
    <xf numFmtId="0" fontId="0" fillId="5" borderId="0" xfId="0" quotePrefix="1" applyFill="1" applyBorder="1" applyProtection="1"/>
    <xf numFmtId="0" fontId="6" fillId="5" borderId="1" xfId="0" applyFont="1" applyFill="1" applyBorder="1" applyProtection="1"/>
    <xf numFmtId="0" fontId="9" fillId="5" borderId="4" xfId="0" applyFont="1" applyFill="1" applyBorder="1" applyProtection="1"/>
    <xf numFmtId="0" fontId="0" fillId="8" borderId="24" xfId="0" applyFill="1" applyBorder="1" applyProtection="1"/>
    <xf numFmtId="0" fontId="0" fillId="8" borderId="12" xfId="0" applyFill="1" applyBorder="1" applyProtection="1"/>
    <xf numFmtId="2" fontId="0" fillId="8" borderId="9" xfId="0" applyNumberFormat="1" applyFill="1" applyBorder="1" applyProtection="1"/>
    <xf numFmtId="3" fontId="0" fillId="9" borderId="9" xfId="0" applyNumberFormat="1" applyFill="1" applyBorder="1" applyProtection="1"/>
    <xf numFmtId="164" fontId="0" fillId="5" borderId="0" xfId="0" applyNumberFormat="1" applyFill="1" applyBorder="1" applyProtection="1"/>
    <xf numFmtId="0" fontId="0" fillId="8" borderId="9" xfId="0" applyFill="1" applyBorder="1" applyProtection="1"/>
    <xf numFmtId="1" fontId="0" fillId="8" borderId="11" xfId="0" applyNumberFormat="1" applyFill="1" applyBorder="1" applyProtection="1"/>
    <xf numFmtId="3" fontId="0" fillId="8" borderId="11" xfId="0" applyNumberFormat="1" applyFill="1" applyBorder="1" applyProtection="1"/>
    <xf numFmtId="0" fontId="0" fillId="5" borderId="35" xfId="0" applyFill="1" applyBorder="1" applyProtection="1"/>
    <xf numFmtId="0" fontId="0" fillId="5" borderId="36" xfId="0" applyFill="1" applyBorder="1" applyProtection="1"/>
    <xf numFmtId="0" fontId="0" fillId="5" borderId="25" xfId="0" applyFill="1" applyBorder="1" applyProtection="1"/>
    <xf numFmtId="3" fontId="0" fillId="8" borderId="34" xfId="0" applyNumberFormat="1" applyFill="1" applyBorder="1" applyProtection="1"/>
    <xf numFmtId="0" fontId="0" fillId="5" borderId="13" xfId="0" applyFill="1" applyBorder="1" applyProtection="1"/>
    <xf numFmtId="0" fontId="0" fillId="0" borderId="24" xfId="0" applyBorder="1" applyProtection="1"/>
    <xf numFmtId="3" fontId="0" fillId="8" borderId="9" xfId="0" applyNumberFormat="1" applyFill="1" applyBorder="1" applyProtection="1"/>
    <xf numFmtId="0" fontId="6" fillId="5" borderId="4" xfId="0" applyFont="1" applyFill="1" applyBorder="1" applyProtection="1"/>
    <xf numFmtId="0" fontId="0" fillId="0" borderId="37" xfId="0" applyBorder="1" applyProtection="1"/>
    <xf numFmtId="0" fontId="0" fillId="0" borderId="25" xfId="0" applyBorder="1" applyProtection="1"/>
    <xf numFmtId="0" fontId="9" fillId="5" borderId="0" xfId="0" applyFont="1" applyFill="1" applyBorder="1" applyProtection="1"/>
    <xf numFmtId="0" fontId="0" fillId="0" borderId="24" xfId="0" applyFill="1" applyBorder="1" applyProtection="1"/>
    <xf numFmtId="0" fontId="8" fillId="5" borderId="9" xfId="0" applyFont="1" applyFill="1" applyBorder="1" applyProtection="1"/>
    <xf numFmtId="3" fontId="8" fillId="5" borderId="9" xfId="0" applyNumberFormat="1" applyFont="1" applyFill="1" applyBorder="1" applyProtection="1"/>
    <xf numFmtId="1" fontId="8" fillId="5" borderId="9" xfId="0" applyNumberFormat="1" applyFont="1" applyFill="1" applyBorder="1" applyProtection="1"/>
    <xf numFmtId="2" fontId="8" fillId="5" borderId="9" xfId="0" applyNumberFormat="1" applyFont="1" applyFill="1" applyBorder="1" applyProtection="1"/>
    <xf numFmtId="0" fontId="8" fillId="5" borderId="13" xfId="0" applyFont="1" applyFill="1" applyBorder="1" applyProtection="1"/>
    <xf numFmtId="3" fontId="8" fillId="5" borderId="31" xfId="0" applyNumberFormat="1" applyFont="1" applyFill="1" applyBorder="1" applyProtection="1"/>
    <xf numFmtId="0" fontId="8" fillId="5" borderId="32" xfId="0" applyFont="1" applyFill="1" applyBorder="1" applyProtection="1"/>
    <xf numFmtId="3" fontId="8" fillId="5" borderId="33" xfId="0" applyNumberFormat="1" applyFont="1" applyFill="1" applyBorder="1" applyProtection="1"/>
    <xf numFmtId="0" fontId="0" fillId="5" borderId="9" xfId="0" applyFill="1" applyBorder="1" applyProtection="1"/>
    <xf numFmtId="0" fontId="0" fillId="0" borderId="4" xfId="0" applyFill="1" applyBorder="1" applyProtection="1"/>
    <xf numFmtId="3" fontId="0" fillId="0" borderId="11" xfId="0" applyNumberFormat="1" applyBorder="1" applyProtection="1"/>
    <xf numFmtId="3" fontId="8" fillId="0" borderId="9" xfId="0" applyNumberFormat="1" applyFont="1" applyBorder="1" applyProtection="1"/>
    <xf numFmtId="9" fontId="0" fillId="6" borderId="9" xfId="0" applyNumberFormat="1" applyFill="1" applyBorder="1" applyProtection="1">
      <protection locked="0" hidden="1"/>
    </xf>
    <xf numFmtId="0" fontId="0" fillId="5" borderId="0" xfId="0" applyFill="1" applyBorder="1" applyProtection="1">
      <protection locked="0" hidden="1"/>
    </xf>
    <xf numFmtId="3" fontId="0" fillId="6" borderId="9" xfId="0" applyNumberFormat="1" applyFill="1" applyBorder="1" applyProtection="1">
      <protection hidden="1"/>
    </xf>
    <xf numFmtId="0" fontId="0" fillId="5" borderId="0" xfId="0" applyFill="1" applyBorder="1" applyProtection="1">
      <protection hidden="1"/>
    </xf>
    <xf numFmtId="164" fontId="0" fillId="6" borderId="9" xfId="0" applyNumberFormat="1" applyFill="1" applyBorder="1" applyProtection="1">
      <protection hidden="1"/>
    </xf>
    <xf numFmtId="2" fontId="0" fillId="6" borderId="12" xfId="0" applyNumberFormat="1" applyFill="1" applyBorder="1" applyProtection="1">
      <protection hidden="1"/>
    </xf>
    <xf numFmtId="2" fontId="0" fillId="6" borderId="9" xfId="0" applyNumberFormat="1" applyFill="1" applyBorder="1" applyProtection="1">
      <protection hidden="1"/>
    </xf>
    <xf numFmtId="2" fontId="0" fillId="6" borderId="25" xfId="0" applyNumberFormat="1" applyFill="1" applyBorder="1" applyProtection="1">
      <protection hidden="1"/>
    </xf>
    <xf numFmtId="3" fontId="0" fillId="6" borderId="9" xfId="0" applyNumberFormat="1" applyFont="1" applyFill="1" applyBorder="1" applyProtection="1">
      <protection hidden="1"/>
    </xf>
    <xf numFmtId="0" fontId="0" fillId="5" borderId="42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5</xdr:col>
      <xdr:colOff>142875</xdr:colOff>
      <xdr:row>0</xdr:row>
      <xdr:rowOff>547370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8575"/>
          <a:ext cx="3152775" cy="518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0" name="Scroll Bar 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1" name="Scroll Bar 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2" name="Scroll Bar 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3" name="Scroll Bar 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4" name="Scroll Bar 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5" name="Scroll Bar 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6" name="Scroll Bar 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7" name="Scroll Bar 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8" name="Scroll Bar 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59" name="Scroll Bar 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0" name="Scroll Bar 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1" name="Scroll Bar 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2" name="Scroll Bar 1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3" name="Scroll Bar 1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4" name="Scroll Bar 1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5" name="Scroll Bar 1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6" name="Scroll Bar 1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7" name="Scroll Bar 1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8" name="Scroll Bar 1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69" name="Scroll Bar 2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0" name="Scroll Bar 2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1" name="Scroll Bar 2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2" name="Scroll Bar 2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3" name="Scroll Bar 2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4" name="Scroll Bar 2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5" name="Scroll Bar 2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6" name="Scroll Bar 2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7" name="Scroll Bar 2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8" name="Scroll Bar 2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79" name="Scroll Bar 3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0" name="Scroll Bar 3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1" name="Scroll Bar 3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2" name="Scroll Bar 3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3" name="Scroll Bar 3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4" name="Scroll Bar 3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5" name="Scroll Bar 3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6" name="Scroll Bar 3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7" name="Scroll Bar 3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8" name="Scroll Bar 3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89" name="Scroll Bar 4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0" name="Scroll Bar 4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1" name="Scroll Bar 4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2" name="Scroll Bar 4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3" name="Scroll Bar 4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4" name="Scroll Bar 4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5" name="Scroll Bar 4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6" name="Scroll Bar 4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7" name="Scroll Bar 4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8" name="Scroll Bar 4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099" name="Scroll Bar 5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0" name="Scroll Bar 5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1" name="Scroll Bar 5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2" name="Scroll Bar 5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3" name="Scroll Bar 5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4" name="Scroll Bar 5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5" name="Scroll Bar 5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6" name="Scroll Bar 5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7" name="Scroll Bar 5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8" name="Scroll Bar 5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09" name="Scroll Bar 6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0" name="Scroll Bar 6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1" name="Scroll Bar 6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2" name="Scroll Bar 6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3" name="Scroll Bar 6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4" name="Scroll Bar 6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5" name="Scroll Bar 6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6" name="Scroll Bar 6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7" name="Scroll Bar 6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8" name="Scroll Bar 6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19" name="Scroll Bar 7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0" name="Scroll Bar 7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1" name="Scroll Bar 7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2" name="Scroll Bar 7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3" name="Scroll Bar 7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4" name="Scroll Bar 7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5" name="Scroll Bar 7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6" name="Scroll Bar 7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7" name="Scroll Bar 7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8" name="Scroll Bar 7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29" name="Scroll Bar 8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0" name="Scroll Bar 8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1" name="Scroll Bar 8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2" name="Scroll Bar 8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3" name="Scroll Bar 8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4" name="Scroll Bar 8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5" name="Scroll Bar 8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6" name="Scroll Bar 8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7" name="Scroll Bar 8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8" name="Scroll Bar 8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39" name="Scroll Bar 9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0" name="Scroll Bar 9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1" name="Scroll Bar 9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2" name="Scroll Bar 9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3" name="Scroll Bar 9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4" name="Scroll Bar 9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5" name="Scroll Bar 9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6" name="Scroll Bar 9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7" name="Scroll Bar 9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8" name="Scroll Bar 9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49" name="Scroll Bar 10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0" name="Scroll Bar 10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1" name="Scroll Bar 10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2" name="Scroll Bar 10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3" name="Scroll Bar 10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4" name="Scroll Bar 10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5" name="Scroll Bar 10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6" name="Scroll Bar 10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7" name="Scroll Bar 10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8" name="Scroll Bar 10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59" name="Scroll Bar 1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0" name="Scroll Bar 1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1" name="Scroll Bar 1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2" name="Scroll Bar 11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3" name="Scroll Bar 11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4" name="Scroll Bar 11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5" name="Scroll Bar 11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6" name="Scroll Bar 11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7" name="Scroll Bar 11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8" name="Scroll Bar 11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69" name="Scroll Bar 12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0" name="Scroll Bar 12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1" name="Scroll Bar 12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2" name="Scroll Bar 12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3" name="Scroll Bar 12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4" name="Scroll Bar 12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5" name="Scroll Bar 12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6" name="Scroll Bar 12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7" name="Scroll Bar 12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8" name="Scroll Bar 12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79" name="Scroll Bar 13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0" name="Scroll Bar 13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1" name="Scroll Bar 13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2" name="Scroll Bar 13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3" name="Scroll Bar 13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4" name="Scroll Bar -102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5" name="Scroll Bar -102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6" name="Scroll Bar -102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7" name="Scroll Bar -101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8" name="Scroll Bar -101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89" name="Scroll Bar -101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0" name="Scroll Bar -101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1" name="Scroll Bar -101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2" name="Scroll Bar -101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3" name="Scroll Bar -101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4" name="Scroll Bar -10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5" name="Scroll Bar -10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6" name="Scroll Bar -10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7" name="Scroll Bar -100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8" name="Scroll Bar -100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199" name="Scroll Bar -100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0" name="Scroll Bar -100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1" name="Scroll Bar -100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2" name="Scroll Bar -100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3" name="Scroll Bar -100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4" name="Scroll Bar -100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5" name="Scroll Bar -100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6" name="Scroll Bar 15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7" name="Scroll Bar 15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8" name="Scroll Bar 15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09" name="Scroll Bar 16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0" name="Scroll Bar 16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1" name="Scroll Bar 16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2" name="Scroll Bar 16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3" name="Scroll Bar 16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4" name="Scroll Bar 16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5" name="Scroll Bar 16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6" name="Scroll Bar 16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7" name="Scroll Bar 16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8" name="Scroll Bar 16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19" name="Scroll Bar 17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0" name="Scroll Bar 17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1" name="Scroll Bar 17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2" name="Scroll Bar 17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3" name="Scroll Bar 17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4" name="Scroll Bar 17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5" name="Scroll Bar 17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6" name="Scroll Bar 17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7" name="Scroll Bar 17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8" name="Scroll Bar 17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29" name="Scroll Bar 18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0" name="Scroll Bar 18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1" name="Scroll Bar 18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2" name="Scroll Bar 18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3" name="Scroll Bar 18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4" name="Scroll Bar 18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5" name="Scroll Bar 18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6" name="Scroll Bar 18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7" name="Scroll Bar 18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8" name="Scroll Bar 18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39" name="Scroll Bar 19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0" name="Scroll Bar 19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1" name="Scroll Bar 19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2" name="Scroll Bar 19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3" name="Scroll Bar 19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4" name="Scroll Bar 19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5" name="Scroll Bar 19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6" name="Scroll Bar 19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7" name="Scroll Bar 19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8" name="Scroll Bar 19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49" name="Scroll Bar 20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0" name="Scroll Bar 20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1" name="Scroll Bar 20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2" name="Scroll Bar 20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3" name="Scroll Bar 20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4" name="Scroll Bar 20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5" name="Scroll Bar 20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6" name="Scroll Bar 20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7" name="Scroll Bar 20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8" name="Scroll Bar 20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59" name="Scroll Bar 2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0" name="Scroll Bar 2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1" name="Scroll Bar 2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2" name="Scroll Bar 21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3" name="Scroll Bar 21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4" name="Scroll Bar 21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5" name="Scroll Bar 21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6" name="Scroll Bar 21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7" name="Scroll Bar 21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8" name="Scroll Bar 21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69" name="Scroll Bar 22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0" name="Scroll Bar 22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1" name="Scroll Bar 22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2" name="Scroll Bar 22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3" name="Scroll Bar 22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4" name="Scroll Bar 22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5" name="Scroll Bar 22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6" name="Scroll Bar 22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7" name="Scroll Bar 22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8" name="Scroll Bar 22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79" name="Scroll Bar 23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0" name="Scroll Bar 23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1" name="Scroll Bar 23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2" name="Scroll Bar 23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3" name="Scroll Bar 23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4" name="Scroll Bar 23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5" name="Scroll Bar 23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6" name="Scroll Bar 23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7" name="Scroll Bar 23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8" name="Scroll Bar 23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89" name="Scroll Bar 24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0" name="Scroll Bar 24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1" name="Scroll Bar 24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2" name="Scroll Bar 24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3" name="Scroll Bar 24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4" name="Scroll Bar 24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5" name="Scroll Bar 24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6" name="Scroll Bar 24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7" name="Scroll Bar 24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8" name="Scroll Bar 24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299" name="Scroll Bar 25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0" name="Scroll Bar 25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1" name="Scroll Bar 25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2" name="Scroll Bar 25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3" name="Scroll Bar 25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4" name="Scroll Bar 25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5" name="Scroll Bar 25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6" name="Scroll Bar 25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7" name="Scroll Bar 25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8" name="Scroll Bar 25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09" name="Scroll Bar 26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10" name="Scroll Bar 26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3311" name="Scroll Bar 26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0" name="Scroll Bar 26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1" name="Scroll Bar 26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2" name="Scroll Bar 26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3" name="Scroll Bar 26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4" name="Scroll Bar 26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5" name="Scroll Bar 26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6" name="Scroll Bar 26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7" name="Scroll Bar 27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8" name="Scroll Bar 27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69" name="Scroll Bar 27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0" name="Scroll Bar 27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1" name="Scroll Bar 27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2" name="Scroll Bar 27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3" name="Scroll Bar 27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4" name="Scroll Bar 27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5" name="Scroll Bar 27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6" name="Scroll Bar 27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7" name="Scroll Bar 28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8" name="Scroll Bar 28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79" name="Scroll Bar 28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0" name="Scroll Bar 28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1" name="Scroll Bar 28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2" name="Scroll Bar 28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3" name="Scroll Bar 28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4" name="Scroll Bar 28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5" name="Scroll Bar 28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6" name="Scroll Bar 28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7" name="Scroll Bar 29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8" name="Scroll Bar 29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89" name="Scroll Bar 29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0" name="Scroll Bar 29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1" name="Scroll Bar 29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2" name="Scroll Bar 29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3" name="Scroll Bar 29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4" name="Scroll Bar 29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5" name="Scroll Bar 29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6" name="Scroll Bar 29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7" name="Scroll Bar 30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8" name="Scroll Bar 30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399" name="Scroll Bar 30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0" name="Scroll Bar 30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1" name="Scroll Bar 30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2" name="Scroll Bar 30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3" name="Scroll Bar 30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4" name="Scroll Bar 30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5" name="Scroll Bar 30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6" name="Scroll Bar 30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7" name="Scroll Bar 3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8" name="Scroll Bar 3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09" name="Scroll Bar 3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0" name="Scroll Bar 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1" name="Scroll Bar 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2" name="Scroll Bar 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3" name="Scroll Bar 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4" name="Scroll Bar 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5" name="Scroll Bar 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6" name="Scroll Bar 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7" name="Scroll Bar 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8" name="Scroll Bar 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19" name="Scroll Bar 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0" name="Scroll Bar 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1" name="Scroll Bar 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2" name="Scroll Bar 1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3" name="Scroll Bar 1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4" name="Scroll Bar 1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5" name="Scroll Bar 1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6" name="Scroll Bar 1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7" name="Scroll Bar 1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8" name="Scroll Bar 1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29" name="Scroll Bar 2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0" name="Scroll Bar 2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1" name="Scroll Bar 2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2" name="Scroll Bar 2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3" name="Scroll Bar 2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4" name="Scroll Bar 2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5" name="Scroll Bar 2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6" name="Scroll Bar 2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7" name="Scroll Bar 2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8" name="Scroll Bar 2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39" name="Scroll Bar 3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0" name="Scroll Bar 3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1" name="Scroll Bar 3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2" name="Scroll Bar 3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3" name="Scroll Bar 3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4" name="Scroll Bar 3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5" name="Scroll Bar 3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6" name="Scroll Bar 3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7" name="Scroll Bar 3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8" name="Scroll Bar 3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49" name="Scroll Bar 4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0" name="Scroll Bar 4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1" name="Scroll Bar 4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2" name="Scroll Bar 4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3" name="Scroll Bar 4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4" name="Scroll Bar 4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5" name="Scroll Bar 4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6" name="Scroll Bar 4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7" name="Scroll Bar 4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8" name="Scroll Bar 4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59" name="Scroll Bar 5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0" name="Scroll Bar 5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1" name="Scroll Bar 5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2" name="Scroll Bar 5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3" name="Scroll Bar 5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4" name="Scroll Bar 5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5" name="Scroll Bar 5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6" name="Scroll Bar 5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7" name="Scroll Bar 5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8" name="Scroll Bar 5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69" name="Scroll Bar 6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0" name="Scroll Bar 6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1" name="Scroll Bar 6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2" name="Scroll Bar 6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3" name="Scroll Bar 6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4" name="Scroll Bar 6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5" name="Scroll Bar 6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6" name="Scroll Bar 6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7" name="Scroll Bar 6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8" name="Scroll Bar 6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79" name="Scroll Bar 7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0" name="Scroll Bar 7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1" name="Scroll Bar 7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2" name="Scroll Bar 7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3" name="Scroll Bar 7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4" name="Scroll Bar 7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5" name="Scroll Bar 7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6" name="Scroll Bar 7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7" name="Scroll Bar 7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8" name="Scroll Bar 7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89" name="Scroll Bar 8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0" name="Scroll Bar 8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1" name="Scroll Bar 8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2" name="Scroll Bar 8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3" name="Scroll Bar 8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4" name="Scroll Bar 8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5" name="Scroll Bar 8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6" name="Scroll Bar 8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7" name="Scroll Bar 8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8" name="Scroll Bar 8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499" name="Scroll Bar 9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0" name="Scroll Bar 9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1" name="Scroll Bar 9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2" name="Scroll Bar 9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3" name="Scroll Bar 9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4" name="Scroll Bar 9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5" name="Scroll Bar 9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6" name="Scroll Bar 9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7" name="Scroll Bar 9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8" name="Scroll Bar 9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09" name="Scroll Bar 10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0" name="Scroll Bar 10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1" name="Scroll Bar 10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2" name="Scroll Bar 10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3" name="Scroll Bar 10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4" name="Scroll Bar 10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5" name="Scroll Bar 10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6" name="Scroll Bar 10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7" name="Scroll Bar 10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8" name="Scroll Bar 10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19" name="Scroll Bar 1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0" name="Scroll Bar 1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1" name="Scroll Bar 1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2" name="Scroll Bar 11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3" name="Scroll Bar 11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4" name="Scroll Bar 11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5" name="Scroll Bar 11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6" name="Scroll Bar 11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7" name="Scroll Bar 11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8" name="Scroll Bar 11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29" name="Scroll Bar 12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0" name="Scroll Bar 12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1" name="Scroll Bar 12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2" name="Scroll Bar 12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3" name="Scroll Bar 12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4" name="Scroll Bar 12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5" name="Scroll Bar 12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6" name="Scroll Bar 12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7" name="Scroll Bar 12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8" name="Scroll Bar 12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39" name="Scroll Bar 13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0" name="Scroll Bar 13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1" name="Scroll Bar 13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2" name="Scroll Bar 13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3" name="Scroll Bar 13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4" name="Scroll Bar -102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5" name="Scroll Bar -102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6" name="Scroll Bar -102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7" name="Scroll Bar -101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8" name="Scroll Bar -101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49" name="Scroll Bar -101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0" name="Scroll Bar -101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1" name="Scroll Bar -101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2" name="Scroll Bar -101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3" name="Scroll Bar -101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4" name="Scroll Bar -10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5" name="Scroll Bar -10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6" name="Scroll Bar -10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7" name="Scroll Bar -100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8" name="Scroll Bar -100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59" name="Scroll Bar -100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0" name="Scroll Bar -100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1" name="Scroll Bar -100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2" name="Scroll Bar -100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3" name="Scroll Bar -100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4" name="Scroll Bar -100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5" name="Scroll Bar -100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6" name="Scroll Bar 15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7" name="Scroll Bar 15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8" name="Scroll Bar 15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69" name="Scroll Bar 16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0" name="Scroll Bar 16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1" name="Scroll Bar 16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2" name="Scroll Bar 16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3" name="Scroll Bar 16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4" name="Scroll Bar 16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5" name="Scroll Bar 16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6" name="Scroll Bar 16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7" name="Scroll Bar 16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8" name="Scroll Bar 16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79" name="Scroll Bar 17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0" name="Scroll Bar 17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1" name="Scroll Bar 17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2" name="Scroll Bar 17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3" name="Scroll Bar 17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4" name="Scroll Bar 17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5" name="Scroll Bar 17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6" name="Scroll Bar 17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7" name="Scroll Bar 17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8" name="Scroll Bar 17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89" name="Scroll Bar 18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0" name="Scroll Bar 18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1" name="Scroll Bar 18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2" name="Scroll Bar 18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3" name="Scroll Bar 18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4" name="Scroll Bar 18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5" name="Scroll Bar 18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6" name="Scroll Bar 18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7" name="Scroll Bar 18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8" name="Scroll Bar 18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599" name="Scroll Bar 19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0" name="Scroll Bar 19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1" name="Scroll Bar 19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2" name="Scroll Bar 19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3" name="Scroll Bar 19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4" name="Scroll Bar 19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5" name="Scroll Bar 19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6" name="Scroll Bar 19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7" name="Scroll Bar 19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8" name="Scroll Bar 19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09" name="Scroll Bar 20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0" name="Scroll Bar 20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1" name="Scroll Bar 20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2" name="Scroll Bar 20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3" name="Scroll Bar 20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4" name="Scroll Bar 20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5" name="Scroll Bar 20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6" name="Scroll Bar 20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7" name="Scroll Bar 20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8" name="Scroll Bar 20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19" name="Scroll Bar 2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0" name="Scroll Bar 2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1" name="Scroll Bar 2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2" name="Scroll Bar 21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3" name="Scroll Bar 21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4" name="Scroll Bar 21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5" name="Scroll Bar 21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6" name="Scroll Bar 21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7" name="Scroll Bar 21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8" name="Scroll Bar 21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29" name="Scroll Bar 22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0" name="Scroll Bar 22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1" name="Scroll Bar 22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2" name="Scroll Bar 22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3" name="Scroll Bar 22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4" name="Scroll Bar 22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5" name="Scroll Bar 22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6" name="Scroll Bar 22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7" name="Scroll Bar 22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8" name="Scroll Bar 22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39" name="Scroll Bar 23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0" name="Scroll Bar 23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1" name="Scroll Bar 23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2" name="Scroll Bar 23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3" name="Scroll Bar 23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4" name="Scroll Bar 23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5" name="Scroll Bar 23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6" name="Scroll Bar 23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7" name="Scroll Bar 23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8" name="Scroll Bar 23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49" name="Scroll Bar 24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0" name="Scroll Bar 24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1" name="Scroll Bar 24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2" name="Scroll Bar 24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3" name="Scroll Bar 24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4" name="Scroll Bar 24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5" name="Scroll Bar 24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6" name="Scroll Bar 24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7" name="Scroll Bar 24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8" name="Scroll Bar 24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59" name="Scroll Bar 25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0" name="Scroll Bar 25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1" name="Scroll Bar 25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2" name="Scroll Bar 25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3" name="Scroll Bar 25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4" name="Scroll Bar 25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5" name="Scroll Bar 25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6" name="Scroll Bar 25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7" name="Scroll Bar 25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8" name="Scroll Bar 25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69" name="Scroll Bar 26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0" name="Scroll Bar 26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1" name="Scroll Bar 26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2" name="Scroll Bar 26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3" name="Scroll Bar 26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4" name="Scroll Bar 26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5" name="Scroll Bar 26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6" name="Scroll Bar 26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7" name="Scroll Bar 26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8" name="Scroll Bar 26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79" name="Scroll Bar 27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0" name="Scroll Bar 27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1" name="Scroll Bar 27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2" name="Scroll Bar 27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3" name="Scroll Bar 27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4" name="Scroll Bar 27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5" name="Scroll Bar 27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6" name="Scroll Bar 27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7" name="Scroll Bar 27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8" name="Scroll Bar 27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89" name="Scroll Bar 28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0" name="Scroll Bar 28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1" name="Scroll Bar 28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2" name="Scroll Bar 28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3" name="Scroll Bar 28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4" name="Scroll Bar 28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5" name="Scroll Bar 28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6" name="Scroll Bar 28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7" name="Scroll Bar 28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8" name="Scroll Bar 28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699" name="Scroll Bar 29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0" name="Scroll Bar 29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1" name="Scroll Bar 29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2" name="Scroll Bar 29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3" name="Scroll Bar 29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4" name="Scroll Bar 29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5" name="Scroll Bar 29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6" name="Scroll Bar 29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7" name="Scroll Bar 29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8" name="Scroll Bar 29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09" name="Scroll Bar 30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0" name="Scroll Bar 30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1" name="Scroll Bar 30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2" name="Scroll Bar 303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3" name="Scroll Bar 304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4" name="Scroll Bar 305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5" name="Scroll Bar 306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6" name="Scroll Bar 307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7" name="Scroll Bar 308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8" name="Scroll Bar 309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19" name="Scroll Bar 310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20" name="Scroll Bar 311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13</xdr:col>
      <xdr:colOff>0</xdr:colOff>
      <xdr:row>1</xdr:row>
      <xdr:rowOff>0</xdr:rowOff>
    </xdr:from>
    <xdr:to>
      <xdr:col>13</xdr:col>
      <xdr:colOff>485775</xdr:colOff>
      <xdr:row>1</xdr:row>
      <xdr:rowOff>190500</xdr:rowOff>
    </xdr:to>
    <xdr:sp macro="" textlink="">
      <xdr:nvSpPr>
        <xdr:cNvPr id="15721" name="Scroll Bar 312" hidden="1"/>
        <xdr:cNvSpPr>
          <a:spLocks noChangeArrowheads="1"/>
        </xdr:cNvSpPr>
      </xdr:nvSpPr>
      <xdr:spPr bwMode="auto">
        <a:xfrm>
          <a:off x="8772525" y="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opLeftCell="A19" workbookViewId="0">
      <selection activeCell="G53" sqref="G53"/>
    </sheetView>
  </sheetViews>
  <sheetFormatPr defaultRowHeight="15" x14ac:dyDescent="0.25"/>
  <cols>
    <col min="1" max="2" width="9.140625" style="96"/>
    <col min="3" max="3" width="9.5703125" style="96" customWidth="1"/>
    <col min="4" max="4" width="9.140625" style="96"/>
    <col min="5" max="5" width="10.140625" style="96" customWidth="1"/>
    <col min="6" max="6" width="9.140625" style="96"/>
    <col min="7" max="7" width="13.140625" style="96" customWidth="1"/>
    <col min="8" max="8" width="10.28515625" style="96" customWidth="1"/>
    <col min="9" max="9" width="9.140625" style="96"/>
    <col min="10" max="10" width="10.28515625" style="96" customWidth="1"/>
    <col min="11" max="12" width="9.140625" style="96"/>
    <col min="13" max="13" width="13" style="96" customWidth="1"/>
    <col min="14" max="19" width="9.140625" style="96"/>
    <col min="20" max="20" width="12.42578125" style="96" customWidth="1"/>
    <col min="21" max="16384" width="9.140625" style="96"/>
  </cols>
  <sheetData>
    <row r="1" spans="1:13" ht="48" customHeight="1" thickTop="1" thickBot="1" x14ac:dyDescent="0.85">
      <c r="A1" s="92"/>
      <c r="B1" s="93"/>
      <c r="C1" s="93"/>
      <c r="D1" s="94"/>
      <c r="E1" s="95"/>
    </row>
    <row r="2" spans="1:13" ht="18.75" customHeight="1" thickTop="1" x14ac:dyDescent="0.3">
      <c r="A2" s="97" t="s">
        <v>228</v>
      </c>
      <c r="B2" s="98"/>
      <c r="C2" s="98"/>
      <c r="D2" s="97"/>
      <c r="E2" s="97"/>
      <c r="F2" s="97"/>
      <c r="G2" s="97"/>
      <c r="H2" s="97"/>
      <c r="I2" s="97"/>
      <c r="J2" s="97"/>
      <c r="K2" s="97"/>
      <c r="L2" s="97"/>
    </row>
    <row r="3" spans="1:13" ht="17.25" customHeight="1" x14ac:dyDescent="0.3">
      <c r="A3" s="97" t="s">
        <v>231</v>
      </c>
      <c r="B3" s="98"/>
      <c r="C3" s="98"/>
      <c r="D3" s="97"/>
      <c r="E3" s="97"/>
      <c r="F3" s="97"/>
      <c r="G3" s="97"/>
      <c r="H3" s="97"/>
      <c r="I3" s="97"/>
      <c r="J3" s="97"/>
      <c r="K3" s="97"/>
      <c r="L3" s="97"/>
    </row>
    <row r="4" spans="1:13" ht="17.25" customHeight="1" x14ac:dyDescent="0.3">
      <c r="A4" s="97" t="s">
        <v>232</v>
      </c>
      <c r="B4" s="98"/>
      <c r="C4" s="98"/>
      <c r="D4" s="97"/>
      <c r="E4" s="97"/>
      <c r="F4" s="97"/>
      <c r="G4" s="97"/>
      <c r="H4" s="97"/>
      <c r="I4" s="97"/>
      <c r="J4" s="97"/>
      <c r="K4" s="97"/>
      <c r="L4" s="97"/>
    </row>
    <row r="5" spans="1:13" ht="24" thickBot="1" x14ac:dyDescent="0.4">
      <c r="A5" s="99" t="s">
        <v>229</v>
      </c>
    </row>
    <row r="6" spans="1:13" ht="24" thickTop="1" x14ac:dyDescent="0.35">
      <c r="A6" s="100" t="s">
        <v>149</v>
      </c>
      <c r="B6" s="101"/>
      <c r="C6" s="102"/>
      <c r="D6" s="102"/>
      <c r="E6" s="102"/>
      <c r="F6" s="102"/>
      <c r="G6" s="102"/>
      <c r="H6" s="102"/>
      <c r="I6" s="102"/>
      <c r="J6" s="102"/>
      <c r="K6" s="103" t="s">
        <v>205</v>
      </c>
      <c r="L6" s="102"/>
      <c r="M6" s="104"/>
    </row>
    <row r="7" spans="1:13" x14ac:dyDescent="0.25">
      <c r="A7" s="105"/>
      <c r="B7" s="106"/>
      <c r="C7" s="91"/>
      <c r="D7" s="91"/>
      <c r="E7" s="91"/>
      <c r="F7" s="91"/>
      <c r="G7" s="106" t="s">
        <v>155</v>
      </c>
      <c r="H7" s="106"/>
      <c r="I7" s="106"/>
      <c r="J7" s="106"/>
      <c r="K7" s="105" t="s">
        <v>206</v>
      </c>
      <c r="L7" s="91"/>
      <c r="M7" s="107"/>
    </row>
    <row r="8" spans="1:13" x14ac:dyDescent="0.25">
      <c r="A8" s="108" t="s">
        <v>8</v>
      </c>
      <c r="B8" s="109"/>
      <c r="C8" s="109"/>
      <c r="D8" s="110"/>
      <c r="E8" s="111">
        <v>300</v>
      </c>
      <c r="F8" s="112"/>
      <c r="G8" s="106" t="s">
        <v>156</v>
      </c>
      <c r="H8" s="106"/>
      <c r="I8" s="106"/>
      <c r="J8" s="106"/>
      <c r="K8" s="105" t="s">
        <v>166</v>
      </c>
      <c r="L8" s="91"/>
      <c r="M8" s="107"/>
    </row>
    <row r="9" spans="1:13" x14ac:dyDescent="0.25">
      <c r="A9" s="108" t="s">
        <v>186</v>
      </c>
      <c r="B9" s="109"/>
      <c r="C9" s="109"/>
      <c r="D9" s="110"/>
      <c r="E9" s="111">
        <v>30</v>
      </c>
      <c r="F9" s="106"/>
      <c r="G9" s="163">
        <f>E9/E8</f>
        <v>0.1</v>
      </c>
      <c r="H9" s="91" t="s">
        <v>218</v>
      </c>
      <c r="I9" s="91"/>
      <c r="J9" s="91"/>
      <c r="K9" s="105" t="s">
        <v>165</v>
      </c>
      <c r="L9" s="106"/>
      <c r="M9" s="107"/>
    </row>
    <row r="10" spans="1:13" x14ac:dyDescent="0.25">
      <c r="A10" s="108" t="s">
        <v>200</v>
      </c>
      <c r="B10" s="109"/>
      <c r="C10" s="109"/>
      <c r="D10" s="110"/>
      <c r="E10" s="111">
        <v>50</v>
      </c>
      <c r="F10" s="106"/>
      <c r="G10" s="163">
        <f>(E10+E11)/E8</f>
        <v>0.2</v>
      </c>
      <c r="H10" s="91" t="s">
        <v>16</v>
      </c>
      <c r="I10" s="91"/>
      <c r="J10" s="91"/>
      <c r="K10" s="105" t="s">
        <v>219</v>
      </c>
      <c r="L10" s="91"/>
      <c r="M10" s="107"/>
    </row>
    <row r="11" spans="1:13" x14ac:dyDescent="0.25">
      <c r="A11" s="108" t="s">
        <v>201</v>
      </c>
      <c r="B11" s="109"/>
      <c r="C11" s="109"/>
      <c r="D11" s="110"/>
      <c r="E11" s="111">
        <v>10</v>
      </c>
      <c r="F11" s="106"/>
      <c r="G11" s="163"/>
      <c r="H11" s="91"/>
      <c r="I11" s="91"/>
      <c r="J11" s="91"/>
      <c r="K11" s="105" t="s">
        <v>164</v>
      </c>
      <c r="L11" s="91"/>
      <c r="M11" s="107"/>
    </row>
    <row r="12" spans="1:13" x14ac:dyDescent="0.25">
      <c r="A12" s="108" t="s">
        <v>187</v>
      </c>
      <c r="B12" s="109"/>
      <c r="C12" s="109"/>
      <c r="D12" s="110"/>
      <c r="E12" s="111">
        <v>10</v>
      </c>
      <c r="F12" s="106"/>
      <c r="G12" s="163">
        <f>E12/E8</f>
        <v>3.3333333333333333E-2</v>
      </c>
      <c r="H12" s="91" t="s">
        <v>17</v>
      </c>
      <c r="I12" s="91"/>
      <c r="J12" s="91"/>
      <c r="K12" s="105" t="s">
        <v>220</v>
      </c>
      <c r="L12" s="91"/>
      <c r="M12" s="107"/>
    </row>
    <row r="13" spans="1:13" x14ac:dyDescent="0.25">
      <c r="A13" s="108" t="s">
        <v>207</v>
      </c>
      <c r="B13" s="109"/>
      <c r="C13" s="109"/>
      <c r="D13" s="110"/>
      <c r="E13" s="111">
        <v>127</v>
      </c>
      <c r="F13" s="106"/>
      <c r="G13" s="163"/>
      <c r="H13" s="91"/>
      <c r="I13" s="91"/>
      <c r="J13" s="91"/>
      <c r="K13" s="105" t="s">
        <v>221</v>
      </c>
      <c r="L13" s="91"/>
      <c r="M13" s="107"/>
    </row>
    <row r="14" spans="1:13" x14ac:dyDescent="0.25">
      <c r="A14" s="108" t="s">
        <v>208</v>
      </c>
      <c r="B14" s="109"/>
      <c r="C14" s="109"/>
      <c r="D14" s="110"/>
      <c r="E14" s="111">
        <v>137</v>
      </c>
      <c r="F14" s="106"/>
      <c r="G14" s="163">
        <f>(E14+E13+E19+E20+E18)/E8</f>
        <v>0.91333333333333333</v>
      </c>
      <c r="H14" s="91" t="s">
        <v>59</v>
      </c>
      <c r="I14" s="91"/>
      <c r="J14" s="91"/>
      <c r="K14" s="105"/>
      <c r="L14" s="106"/>
      <c r="M14" s="107"/>
    </row>
    <row r="15" spans="1:13" x14ac:dyDescent="0.25">
      <c r="A15" s="108" t="s">
        <v>147</v>
      </c>
      <c r="B15" s="109"/>
      <c r="C15" s="109"/>
      <c r="D15" s="110"/>
      <c r="E15" s="111">
        <v>12</v>
      </c>
      <c r="F15" s="106"/>
      <c r="G15" s="164"/>
      <c r="H15" s="106" t="s">
        <v>148</v>
      </c>
      <c r="I15" s="106"/>
      <c r="J15" s="106"/>
      <c r="K15" s="105" t="s">
        <v>222</v>
      </c>
      <c r="L15" s="106"/>
      <c r="M15" s="107"/>
    </row>
    <row r="16" spans="1:13" x14ac:dyDescent="0.25">
      <c r="A16" s="108" t="s">
        <v>204</v>
      </c>
      <c r="B16" s="109"/>
      <c r="C16" s="109"/>
      <c r="D16" s="110"/>
      <c r="E16" s="113">
        <f>output!B12</f>
        <v>3</v>
      </c>
      <c r="F16" s="106"/>
      <c r="G16" s="164"/>
      <c r="H16" s="106"/>
      <c r="I16" s="106"/>
      <c r="J16" s="106"/>
      <c r="K16" s="105" t="s">
        <v>223</v>
      </c>
      <c r="L16" s="91"/>
      <c r="M16" s="107"/>
    </row>
    <row r="17" spans="1:13" x14ac:dyDescent="0.25">
      <c r="A17" s="108" t="s">
        <v>202</v>
      </c>
      <c r="B17" s="109"/>
      <c r="C17" s="109"/>
      <c r="D17" s="110"/>
      <c r="E17" s="111">
        <v>3</v>
      </c>
      <c r="F17" s="106"/>
      <c r="G17" s="163">
        <f>(E17+E18)/E15</f>
        <v>0.25</v>
      </c>
      <c r="H17" s="106" t="s">
        <v>57</v>
      </c>
      <c r="I17" s="91"/>
      <c r="J17" s="91"/>
      <c r="K17" s="105" t="s">
        <v>224</v>
      </c>
      <c r="L17" s="106"/>
      <c r="M17" s="107"/>
    </row>
    <row r="18" spans="1:13" x14ac:dyDescent="0.25">
      <c r="A18" s="108" t="s">
        <v>203</v>
      </c>
      <c r="B18" s="109"/>
      <c r="C18" s="109"/>
      <c r="D18" s="110"/>
      <c r="E18" s="114">
        <v>0</v>
      </c>
      <c r="F18" s="106"/>
      <c r="G18" s="115"/>
      <c r="H18" s="106"/>
      <c r="I18" s="91"/>
      <c r="J18" s="91"/>
      <c r="K18" s="105"/>
      <c r="L18" s="91"/>
      <c r="M18" s="107"/>
    </row>
    <row r="19" spans="1:13" x14ac:dyDescent="0.25">
      <c r="A19" s="108" t="s">
        <v>209</v>
      </c>
      <c r="B19" s="109"/>
      <c r="C19" s="109"/>
      <c r="D19" s="110"/>
      <c r="E19" s="114">
        <v>10</v>
      </c>
      <c r="F19" s="106"/>
      <c r="G19" s="115"/>
      <c r="H19" s="106"/>
      <c r="I19" s="91"/>
      <c r="J19" s="91"/>
      <c r="K19" s="105"/>
      <c r="L19" s="91"/>
      <c r="M19" s="107"/>
    </row>
    <row r="20" spans="1:13" x14ac:dyDescent="0.25">
      <c r="A20" s="108" t="s">
        <v>210</v>
      </c>
      <c r="B20" s="109"/>
      <c r="C20" s="109"/>
      <c r="D20" s="110"/>
      <c r="E20" s="114">
        <v>0</v>
      </c>
      <c r="F20" s="106"/>
      <c r="G20" s="115"/>
      <c r="H20" s="106"/>
      <c r="I20" s="91"/>
      <c r="J20" s="91"/>
      <c r="K20" s="105"/>
      <c r="L20" s="91"/>
      <c r="M20" s="107"/>
    </row>
    <row r="21" spans="1:13" ht="15.75" thickBot="1" x14ac:dyDescent="0.3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6"/>
      <c r="L21" s="117"/>
      <c r="M21" s="118"/>
    </row>
    <row r="22" spans="1:13" ht="16.5" thickTop="1" thickBot="1" x14ac:dyDescent="0.3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24" thickTop="1" x14ac:dyDescent="0.35">
      <c r="A23" s="119" t="s">
        <v>94</v>
      </c>
      <c r="B23" s="120"/>
      <c r="C23" s="120"/>
      <c r="D23" s="102"/>
      <c r="E23" s="102"/>
      <c r="F23" s="102"/>
      <c r="G23" s="121" t="s">
        <v>6</v>
      </c>
      <c r="H23" s="121"/>
      <c r="I23" s="102"/>
      <c r="J23" s="102"/>
      <c r="K23" s="102"/>
      <c r="L23" s="102"/>
      <c r="M23" s="104"/>
    </row>
    <row r="24" spans="1:13" ht="15.75" thickBot="1" x14ac:dyDescent="0.3">
      <c r="A24" s="105"/>
      <c r="B24" s="106"/>
      <c r="C24" s="91"/>
      <c r="D24" s="106"/>
      <c r="E24" s="91"/>
      <c r="F24" s="91"/>
      <c r="G24" s="91"/>
      <c r="H24" s="91"/>
      <c r="I24" s="106"/>
      <c r="J24" s="106"/>
      <c r="K24" s="106"/>
      <c r="L24" s="106"/>
      <c r="M24" s="107"/>
    </row>
    <row r="25" spans="1:13" ht="15.75" thickTop="1" x14ac:dyDescent="0.25">
      <c r="A25" s="108" t="s">
        <v>188</v>
      </c>
      <c r="B25" s="109"/>
      <c r="C25" s="110"/>
      <c r="D25" s="106"/>
      <c r="E25" s="122">
        <v>2.2000000000000002</v>
      </c>
      <c r="F25" s="106"/>
      <c r="G25" s="123" t="s">
        <v>160</v>
      </c>
      <c r="H25" s="124"/>
      <c r="I25" s="106"/>
      <c r="J25" s="113">
        <v>530</v>
      </c>
      <c r="K25" s="103" t="s">
        <v>167</v>
      </c>
      <c r="L25" s="102"/>
      <c r="M25" s="104"/>
    </row>
    <row r="26" spans="1:13" x14ac:dyDescent="0.25">
      <c r="A26" s="108" t="s">
        <v>213</v>
      </c>
      <c r="B26" s="109"/>
      <c r="C26" s="110"/>
      <c r="D26" s="106"/>
      <c r="E26" s="122">
        <v>2.4</v>
      </c>
      <c r="F26" s="91"/>
      <c r="G26" s="123" t="s">
        <v>161</v>
      </c>
      <c r="H26" s="124"/>
      <c r="I26" s="106"/>
      <c r="J26" s="111">
        <v>555</v>
      </c>
      <c r="K26" s="105" t="s">
        <v>168</v>
      </c>
      <c r="L26" s="91"/>
      <c r="M26" s="107"/>
    </row>
    <row r="27" spans="1:13" x14ac:dyDescent="0.25">
      <c r="A27" s="108" t="s">
        <v>158</v>
      </c>
      <c r="B27" s="109"/>
      <c r="C27" s="110"/>
      <c r="D27" s="106"/>
      <c r="E27" s="122">
        <v>1.2</v>
      </c>
      <c r="F27" s="91"/>
      <c r="G27" s="123" t="s">
        <v>162</v>
      </c>
      <c r="H27" s="124"/>
      <c r="I27" s="106"/>
      <c r="J27" s="125">
        <v>1305</v>
      </c>
      <c r="K27" s="105" t="s">
        <v>169</v>
      </c>
      <c r="L27" s="91"/>
      <c r="M27" s="107"/>
    </row>
    <row r="28" spans="1:13" x14ac:dyDescent="0.25">
      <c r="A28" s="108" t="s">
        <v>159</v>
      </c>
      <c r="B28" s="109"/>
      <c r="C28" s="110"/>
      <c r="D28" s="106"/>
      <c r="E28" s="122">
        <v>1.35</v>
      </c>
      <c r="F28" s="91"/>
      <c r="G28" s="123" t="s">
        <v>163</v>
      </c>
      <c r="H28" s="124"/>
      <c r="I28" s="106"/>
      <c r="J28" s="125">
        <v>1510</v>
      </c>
      <c r="K28" s="105" t="s">
        <v>170</v>
      </c>
      <c r="L28" s="91"/>
      <c r="M28" s="107"/>
    </row>
    <row r="29" spans="1:13" x14ac:dyDescent="0.25">
      <c r="A29" s="108" t="s">
        <v>214</v>
      </c>
      <c r="B29" s="126"/>
      <c r="C29" s="110"/>
      <c r="D29" s="106"/>
      <c r="E29" s="125">
        <v>1800</v>
      </c>
      <c r="F29" s="91"/>
      <c r="G29" s="91"/>
      <c r="H29" s="91"/>
      <c r="I29" s="106"/>
      <c r="J29" s="106"/>
      <c r="K29" s="105" t="s">
        <v>171</v>
      </c>
      <c r="L29" s="91"/>
      <c r="M29" s="107"/>
    </row>
    <row r="30" spans="1:13" ht="23.25" x14ac:dyDescent="0.35">
      <c r="A30" s="127" t="s">
        <v>95</v>
      </c>
      <c r="B30" s="128"/>
      <c r="C30" s="106"/>
      <c r="D30" s="106"/>
      <c r="E30" s="91"/>
      <c r="F30" s="128"/>
      <c r="G30" s="91"/>
      <c r="H30" s="91"/>
      <c r="I30" s="106"/>
      <c r="J30" s="106"/>
      <c r="K30" s="105" t="s">
        <v>172</v>
      </c>
      <c r="L30" s="91"/>
      <c r="M30" s="107"/>
    </row>
    <row r="31" spans="1:13" ht="15.75" thickBot="1" x14ac:dyDescent="0.3">
      <c r="A31" s="105"/>
      <c r="B31" s="91"/>
      <c r="C31" s="106"/>
      <c r="D31" s="106"/>
      <c r="E31" s="106"/>
      <c r="F31" s="91"/>
      <c r="G31" s="106"/>
      <c r="H31" s="91"/>
      <c r="I31" s="106"/>
      <c r="J31" s="106"/>
      <c r="K31" s="116" t="s">
        <v>173</v>
      </c>
      <c r="L31" s="117"/>
      <c r="M31" s="118"/>
    </row>
    <row r="32" spans="1:13" ht="15.75" thickTop="1" x14ac:dyDescent="0.25">
      <c r="A32" s="108" t="s">
        <v>153</v>
      </c>
      <c r="B32" s="109"/>
      <c r="C32" s="110"/>
      <c r="D32" s="106"/>
      <c r="E32" s="125">
        <v>3045</v>
      </c>
      <c r="F32" s="106"/>
      <c r="G32" s="106"/>
      <c r="H32" s="91"/>
      <c r="I32" s="106"/>
      <c r="J32" s="106"/>
      <c r="K32" s="106"/>
      <c r="L32" s="106"/>
      <c r="M32" s="107"/>
    </row>
    <row r="33" spans="1:19" x14ac:dyDescent="0.25">
      <c r="A33" s="108" t="s">
        <v>154</v>
      </c>
      <c r="B33" s="109"/>
      <c r="C33" s="110"/>
      <c r="D33" s="106"/>
      <c r="E33" s="125">
        <v>2460</v>
      </c>
      <c r="F33" s="91"/>
      <c r="G33" s="91"/>
      <c r="H33" s="91"/>
      <c r="I33" s="106"/>
      <c r="J33" s="106"/>
      <c r="K33" s="106"/>
      <c r="L33" s="106"/>
      <c r="M33" s="107"/>
    </row>
    <row r="34" spans="1:19" ht="15.75" thickBot="1" x14ac:dyDescent="0.3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</row>
    <row r="35" spans="1:19" ht="15.75" thickTop="1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6" spans="1:19" ht="15.75" thickBot="1" x14ac:dyDescent="0.3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17"/>
    </row>
    <row r="37" spans="1:19" ht="21.75" thickTop="1" x14ac:dyDescent="0.35">
      <c r="A37" s="129" t="s">
        <v>93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4"/>
    </row>
    <row r="38" spans="1:19" x14ac:dyDescent="0.25">
      <c r="A38" s="130" t="s">
        <v>185</v>
      </c>
      <c r="B38" s="91"/>
      <c r="C38" s="106"/>
      <c r="D38" s="91" t="s">
        <v>184</v>
      </c>
      <c r="E38" s="91"/>
      <c r="F38" s="91"/>
      <c r="G38" s="91"/>
      <c r="H38" s="91" t="s">
        <v>96</v>
      </c>
      <c r="I38" s="106"/>
      <c r="J38" s="91" t="s">
        <v>39</v>
      </c>
      <c r="K38" s="91"/>
      <c r="L38" s="107"/>
      <c r="M38" s="107"/>
    </row>
    <row r="39" spans="1:19" x14ac:dyDescent="0.25">
      <c r="A39" s="105" t="s">
        <v>49</v>
      </c>
      <c r="B39" s="91"/>
      <c r="C39" s="91"/>
      <c r="D39" s="91"/>
      <c r="E39" s="106"/>
      <c r="F39" s="106"/>
      <c r="G39" s="91"/>
      <c r="H39" s="91" t="s">
        <v>7</v>
      </c>
      <c r="I39" s="106" t="s">
        <v>50</v>
      </c>
      <c r="J39" s="106" t="s">
        <v>35</v>
      </c>
      <c r="K39" s="91"/>
      <c r="L39" s="91"/>
      <c r="M39" s="107"/>
    </row>
    <row r="40" spans="1:19" x14ac:dyDescent="0.25">
      <c r="A40" s="131" t="s">
        <v>152</v>
      </c>
      <c r="B40" s="132"/>
      <c r="C40" s="106"/>
      <c r="D40" s="106"/>
      <c r="E40" s="133">
        <v>15</v>
      </c>
      <c r="F40" s="106"/>
      <c r="G40" s="91"/>
      <c r="H40" s="134">
        <v>312</v>
      </c>
      <c r="I40" s="165">
        <f>E40*H40</f>
        <v>4680</v>
      </c>
      <c r="J40" s="166"/>
      <c r="K40" s="106"/>
      <c r="L40" s="91"/>
      <c r="M40" s="107"/>
    </row>
    <row r="41" spans="1:19" x14ac:dyDescent="0.25">
      <c r="A41" s="131" t="s">
        <v>151</v>
      </c>
      <c r="B41" s="132"/>
      <c r="C41" s="106"/>
      <c r="D41" s="106"/>
      <c r="E41" s="133">
        <v>14</v>
      </c>
      <c r="F41" s="106"/>
      <c r="G41" s="91"/>
      <c r="H41" s="134">
        <v>285</v>
      </c>
      <c r="I41" s="165">
        <f t="shared" ref="I41:I45" si="0">E41*H41</f>
        <v>3990</v>
      </c>
      <c r="J41" s="166"/>
      <c r="K41" s="91"/>
      <c r="L41" s="91"/>
      <c r="M41" s="107"/>
    </row>
    <row r="42" spans="1:19" x14ac:dyDescent="0.25">
      <c r="A42" s="131" t="s">
        <v>150</v>
      </c>
      <c r="B42" s="132"/>
      <c r="C42" s="106"/>
      <c r="D42" s="106"/>
      <c r="E42" s="133">
        <v>16</v>
      </c>
      <c r="F42" s="106"/>
      <c r="G42" s="91"/>
      <c r="H42" s="134">
        <v>190</v>
      </c>
      <c r="I42" s="165">
        <f t="shared" si="0"/>
        <v>3040</v>
      </c>
      <c r="J42" s="166"/>
      <c r="K42" s="91"/>
      <c r="L42" s="91"/>
      <c r="M42" s="107"/>
    </row>
    <row r="43" spans="1:19" x14ac:dyDescent="0.25">
      <c r="A43" s="131" t="s">
        <v>97</v>
      </c>
      <c r="B43" s="132"/>
      <c r="C43" s="106"/>
      <c r="D43" s="106"/>
      <c r="E43" s="133">
        <v>17</v>
      </c>
      <c r="F43" s="106"/>
      <c r="G43" s="91"/>
      <c r="H43" s="134">
        <v>510</v>
      </c>
      <c r="I43" s="165">
        <f t="shared" si="0"/>
        <v>8670</v>
      </c>
      <c r="J43" s="166"/>
      <c r="K43" s="91"/>
      <c r="L43" s="91"/>
      <c r="M43" s="107"/>
    </row>
    <row r="44" spans="1:19" x14ac:dyDescent="0.25">
      <c r="A44" s="131" t="s">
        <v>98</v>
      </c>
      <c r="B44" s="132"/>
      <c r="C44" s="106"/>
      <c r="D44" s="106"/>
      <c r="E44" s="133">
        <v>15</v>
      </c>
      <c r="F44" s="106"/>
      <c r="G44" s="91"/>
      <c r="H44" s="134">
        <v>351</v>
      </c>
      <c r="I44" s="165">
        <f t="shared" si="0"/>
        <v>5265</v>
      </c>
      <c r="J44" s="166"/>
      <c r="K44" s="91"/>
      <c r="L44" s="91"/>
      <c r="M44" s="107"/>
    </row>
    <row r="45" spans="1:19" x14ac:dyDescent="0.25">
      <c r="A45" s="131" t="s">
        <v>99</v>
      </c>
      <c r="B45" s="132"/>
      <c r="C45" s="106"/>
      <c r="D45" s="106"/>
      <c r="E45" s="133">
        <v>15</v>
      </c>
      <c r="F45" s="106"/>
      <c r="G45" s="91"/>
      <c r="H45" s="134">
        <v>453</v>
      </c>
      <c r="I45" s="165">
        <f t="shared" si="0"/>
        <v>6795</v>
      </c>
      <c r="J45" s="166"/>
      <c r="K45" s="91"/>
      <c r="L45" s="91"/>
      <c r="M45" s="107"/>
    </row>
    <row r="46" spans="1:19" x14ac:dyDescent="0.25">
      <c r="A46" s="105"/>
      <c r="B46" s="91"/>
      <c r="C46" s="106"/>
      <c r="D46" s="106"/>
      <c r="F46" s="106"/>
      <c r="G46" s="91" t="s">
        <v>18</v>
      </c>
      <c r="H46" s="134">
        <f>SUM(H40:H45)</f>
        <v>2101</v>
      </c>
      <c r="I46" s="165">
        <f>SUM(I40:I45)</f>
        <v>32440</v>
      </c>
      <c r="J46" s="167">
        <f>H46/E8</f>
        <v>7.003333333333333</v>
      </c>
      <c r="K46" s="106"/>
      <c r="L46" s="91"/>
      <c r="M46" s="107"/>
      <c r="Q46" s="112"/>
      <c r="R46" s="112"/>
      <c r="S46" s="112"/>
    </row>
    <row r="47" spans="1:19" x14ac:dyDescent="0.25">
      <c r="A47" s="105"/>
      <c r="B47" s="91"/>
      <c r="C47" s="106"/>
      <c r="D47" s="91" t="s">
        <v>56</v>
      </c>
      <c r="E47" s="112"/>
      <c r="F47" s="91"/>
      <c r="G47" s="91"/>
      <c r="H47" s="91"/>
      <c r="I47" s="106"/>
      <c r="J47" s="106"/>
      <c r="K47" s="135"/>
      <c r="L47" s="106"/>
      <c r="M47" s="107"/>
      <c r="P47" s="112"/>
    </row>
    <row r="48" spans="1:19" x14ac:dyDescent="0.25">
      <c r="A48" s="130" t="s">
        <v>58</v>
      </c>
      <c r="B48" s="106"/>
      <c r="C48" s="106"/>
      <c r="D48" s="106"/>
      <c r="E48" s="136">
        <v>204</v>
      </c>
      <c r="F48" s="106"/>
      <c r="G48" s="91"/>
      <c r="H48" s="106"/>
      <c r="I48" s="106"/>
      <c r="J48" s="91" t="s">
        <v>174</v>
      </c>
      <c r="K48" s="91"/>
      <c r="L48" s="91"/>
      <c r="M48" s="107"/>
    </row>
    <row r="49" spans="1:14" x14ac:dyDescent="0.25">
      <c r="A49" s="105"/>
      <c r="B49" s="106"/>
      <c r="C49" s="106"/>
      <c r="D49" s="91"/>
      <c r="E49" s="112"/>
      <c r="F49" s="106"/>
      <c r="G49" s="106"/>
      <c r="H49" s="91"/>
      <c r="I49" s="106"/>
      <c r="J49" s="106" t="s">
        <v>176</v>
      </c>
      <c r="K49" s="106"/>
      <c r="L49" s="106"/>
      <c r="M49" s="107"/>
    </row>
    <row r="50" spans="1:14" x14ac:dyDescent="0.25">
      <c r="A50" s="108" t="s">
        <v>239</v>
      </c>
      <c r="B50" s="109"/>
      <c r="C50" s="110"/>
      <c r="D50" s="106"/>
      <c r="E50" s="136">
        <v>84</v>
      </c>
      <c r="F50" s="106"/>
      <c r="G50" s="108" t="s">
        <v>242</v>
      </c>
      <c r="H50" s="124"/>
      <c r="I50" s="137">
        <v>174.85714285714286</v>
      </c>
      <c r="J50" s="168">
        <f>I50/E8</f>
        <v>0.58285714285714285</v>
      </c>
      <c r="K50" s="106" t="s">
        <v>55</v>
      </c>
      <c r="L50" s="91"/>
      <c r="M50" s="107"/>
      <c r="N50" s="112"/>
    </row>
    <row r="51" spans="1:14" x14ac:dyDescent="0.25">
      <c r="A51" s="108" t="s">
        <v>241</v>
      </c>
      <c r="B51" s="109"/>
      <c r="C51" s="110"/>
      <c r="D51" s="106"/>
      <c r="E51" s="136">
        <v>66</v>
      </c>
      <c r="F51" s="106"/>
      <c r="G51" s="108" t="s">
        <v>243</v>
      </c>
      <c r="H51" s="124"/>
      <c r="I51" s="137">
        <v>654.54857142857134</v>
      </c>
      <c r="J51" s="168">
        <f>I51/E8</f>
        <v>2.181828571428571</v>
      </c>
      <c r="K51" s="91" t="s">
        <v>78</v>
      </c>
      <c r="L51" s="91"/>
      <c r="M51" s="107"/>
      <c r="N51" s="112"/>
    </row>
    <row r="52" spans="1:14" x14ac:dyDescent="0.25">
      <c r="A52" s="108" t="s">
        <v>240</v>
      </c>
      <c r="B52" s="109"/>
      <c r="C52" s="110"/>
      <c r="D52" s="106"/>
      <c r="E52" s="136">
        <v>42</v>
      </c>
      <c r="F52" s="106"/>
      <c r="G52" s="108" t="s">
        <v>244</v>
      </c>
      <c r="H52" s="124"/>
      <c r="I52" s="137">
        <v>154.45714285714286</v>
      </c>
      <c r="J52" s="168">
        <f>I52/E8</f>
        <v>0.5148571428571429</v>
      </c>
      <c r="K52" s="91" t="s">
        <v>52</v>
      </c>
      <c r="L52" s="91"/>
      <c r="M52" s="107"/>
      <c r="N52" s="112"/>
    </row>
    <row r="53" spans="1:14" x14ac:dyDescent="0.25">
      <c r="A53" s="108" t="s">
        <v>10</v>
      </c>
      <c r="B53" s="109"/>
      <c r="C53" s="110"/>
      <c r="D53" s="106"/>
      <c r="E53" s="133">
        <v>28</v>
      </c>
      <c r="F53" s="106"/>
      <c r="G53" s="108" t="s">
        <v>92</v>
      </c>
      <c r="H53" s="124"/>
      <c r="I53" s="137">
        <v>760.62857142857138</v>
      </c>
      <c r="J53" s="168">
        <f>I53/E8</f>
        <v>2.5354285714285711</v>
      </c>
      <c r="K53" s="91" t="s">
        <v>53</v>
      </c>
      <c r="L53" s="91"/>
      <c r="M53" s="107"/>
      <c r="N53" s="112"/>
    </row>
    <row r="54" spans="1:14" x14ac:dyDescent="0.25">
      <c r="A54" s="108" t="s">
        <v>100</v>
      </c>
      <c r="B54" s="109"/>
      <c r="C54" s="110"/>
      <c r="D54" s="106"/>
      <c r="E54" s="133">
        <v>3</v>
      </c>
      <c r="F54" s="106"/>
      <c r="G54" s="108" t="s">
        <v>175</v>
      </c>
      <c r="H54" s="124"/>
      <c r="I54" s="138">
        <v>7606.2857142857138</v>
      </c>
      <c r="J54" s="168">
        <f>I54/E8</f>
        <v>25.354285714285712</v>
      </c>
      <c r="K54" s="91" t="s">
        <v>54</v>
      </c>
      <c r="L54" s="91"/>
      <c r="M54" s="107"/>
      <c r="N54" s="112"/>
    </row>
    <row r="55" spans="1:14" x14ac:dyDescent="0.25">
      <c r="A55" s="108" t="s">
        <v>101</v>
      </c>
      <c r="B55" s="109"/>
      <c r="C55" s="110"/>
      <c r="D55" s="106"/>
      <c r="E55" s="133">
        <v>0</v>
      </c>
      <c r="F55" s="106"/>
      <c r="G55" s="108" t="s">
        <v>102</v>
      </c>
      <c r="H55" s="124"/>
      <c r="I55" s="138">
        <v>0</v>
      </c>
      <c r="J55" s="168">
        <f>I55/E8</f>
        <v>0</v>
      </c>
      <c r="K55" s="91"/>
      <c r="L55" s="91"/>
      <c r="M55" s="107"/>
      <c r="N55" s="112"/>
    </row>
    <row r="56" spans="1:14" ht="15.75" thickBot="1" x14ac:dyDescent="0.3">
      <c r="A56" s="139" t="s">
        <v>9</v>
      </c>
      <c r="B56" s="140"/>
      <c r="C56" s="141"/>
      <c r="D56" s="106"/>
      <c r="E56" s="142">
        <v>10645.885714285714</v>
      </c>
      <c r="F56" s="106"/>
      <c r="G56" s="143" t="s">
        <v>217</v>
      </c>
      <c r="H56" s="124"/>
      <c r="J56" s="169">
        <f>E56/E8</f>
        <v>35.486285714285714</v>
      </c>
      <c r="K56" s="91" t="s">
        <v>51</v>
      </c>
      <c r="L56" s="91"/>
      <c r="M56" s="107"/>
      <c r="N56" s="112"/>
    </row>
    <row r="57" spans="1:14" ht="15.75" thickTop="1" x14ac:dyDescent="0.25">
      <c r="A57" s="103" t="s">
        <v>103</v>
      </c>
      <c r="B57" s="102"/>
      <c r="C57" s="102"/>
      <c r="D57" s="104"/>
      <c r="E57" s="102"/>
      <c r="F57" s="102"/>
      <c r="G57" s="104"/>
      <c r="H57" s="91"/>
      <c r="I57" s="91"/>
      <c r="J57" s="91"/>
      <c r="K57" s="91"/>
      <c r="L57" s="91"/>
      <c r="M57" s="107"/>
    </row>
    <row r="58" spans="1:14" x14ac:dyDescent="0.25">
      <c r="A58" s="105" t="s">
        <v>104</v>
      </c>
      <c r="B58" s="91"/>
      <c r="C58" s="91"/>
      <c r="D58" s="107"/>
      <c r="E58" s="91"/>
      <c r="F58" s="91"/>
      <c r="G58" s="107"/>
      <c r="H58" s="91"/>
      <c r="I58" s="91"/>
      <c r="J58" s="91"/>
      <c r="K58" s="91"/>
      <c r="L58" s="91"/>
      <c r="M58" s="107"/>
    </row>
    <row r="59" spans="1:14" ht="15.75" thickBot="1" x14ac:dyDescent="0.3">
      <c r="A59" s="105" t="s">
        <v>105</v>
      </c>
      <c r="B59" s="91"/>
      <c r="C59" s="91"/>
      <c r="D59" s="91"/>
      <c r="E59" s="91"/>
      <c r="F59" s="91"/>
      <c r="G59" s="107"/>
      <c r="H59" s="106"/>
      <c r="I59" s="106"/>
      <c r="J59" s="106"/>
      <c r="K59" s="106"/>
      <c r="L59" s="106"/>
      <c r="M59" s="107"/>
    </row>
    <row r="60" spans="1:14" ht="15.75" thickBot="1" x14ac:dyDescent="0.3">
      <c r="A60" s="116" t="s">
        <v>106</v>
      </c>
      <c r="B60" s="117"/>
      <c r="C60" s="117"/>
      <c r="D60" s="117"/>
      <c r="E60" s="117"/>
      <c r="F60" s="117"/>
      <c r="G60" s="117"/>
      <c r="H60" s="172" t="s">
        <v>238</v>
      </c>
      <c r="I60" s="117"/>
      <c r="J60" s="117"/>
      <c r="K60" s="117"/>
      <c r="L60" s="117"/>
      <c r="M60" s="118"/>
    </row>
    <row r="61" spans="1:14" ht="15.75" thickTop="1" x14ac:dyDescent="0.25">
      <c r="A61" s="106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102"/>
    </row>
    <row r="62" spans="1:14" ht="15.75" thickBot="1" x14ac:dyDescent="0.3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17"/>
    </row>
    <row r="63" spans="1:14" ht="22.5" thickTop="1" thickBot="1" x14ac:dyDescent="0.4">
      <c r="A63" s="129" t="s">
        <v>107</v>
      </c>
      <c r="B63" s="102"/>
      <c r="C63" s="102"/>
      <c r="D63" s="102"/>
      <c r="E63" s="102" t="s">
        <v>108</v>
      </c>
      <c r="F63" s="102" t="s">
        <v>174</v>
      </c>
      <c r="G63" s="102"/>
      <c r="H63" s="102"/>
      <c r="I63" s="102"/>
      <c r="J63" s="102"/>
      <c r="K63" s="102"/>
      <c r="L63" s="102"/>
      <c r="M63" s="104"/>
    </row>
    <row r="64" spans="1:14" ht="15.75" thickTop="1" x14ac:dyDescent="0.25">
      <c r="A64" s="105"/>
      <c r="B64" s="91"/>
      <c r="C64" s="106"/>
      <c r="D64" s="106"/>
      <c r="E64" s="106"/>
      <c r="F64" s="106" t="s">
        <v>176</v>
      </c>
      <c r="G64" s="106"/>
      <c r="H64" s="106"/>
      <c r="I64" s="91"/>
      <c r="J64" s="103" t="s">
        <v>110</v>
      </c>
      <c r="K64" s="102"/>
      <c r="L64" s="102"/>
      <c r="M64" s="104"/>
    </row>
    <row r="65" spans="1:13" x14ac:dyDescent="0.25">
      <c r="A65" s="144" t="s">
        <v>20</v>
      </c>
      <c r="B65" s="124"/>
      <c r="C65" s="106"/>
      <c r="D65" s="106"/>
      <c r="E65" s="145">
        <v>6500</v>
      </c>
      <c r="F65" s="168">
        <f t="shared" ref="F65:F72" si="1">E65/E$8</f>
        <v>21.666666666666668</v>
      </c>
      <c r="G65" s="91" t="s">
        <v>40</v>
      </c>
      <c r="H65" s="91"/>
      <c r="I65" s="106"/>
      <c r="J65" s="105" t="s">
        <v>111</v>
      </c>
      <c r="K65" s="91"/>
      <c r="L65" s="91"/>
      <c r="M65" s="107"/>
    </row>
    <row r="66" spans="1:13" x14ac:dyDescent="0.25">
      <c r="A66" s="144" t="s">
        <v>21</v>
      </c>
      <c r="B66" s="124"/>
      <c r="C66" s="106"/>
      <c r="D66" s="106"/>
      <c r="E66" s="145">
        <v>2800</v>
      </c>
      <c r="F66" s="168">
        <f t="shared" si="1"/>
        <v>9.3333333333333339</v>
      </c>
      <c r="G66" s="91" t="s">
        <v>41</v>
      </c>
      <c r="H66" s="91"/>
      <c r="I66" s="106"/>
      <c r="J66" s="105" t="s">
        <v>112</v>
      </c>
      <c r="K66" s="91"/>
      <c r="L66" s="91"/>
      <c r="M66" s="107"/>
    </row>
    <row r="67" spans="1:13" x14ac:dyDescent="0.25">
      <c r="A67" s="144" t="s">
        <v>22</v>
      </c>
      <c r="B67" s="124"/>
      <c r="C67" s="106"/>
      <c r="D67" s="106"/>
      <c r="E67" s="145">
        <v>8700</v>
      </c>
      <c r="F67" s="168">
        <f t="shared" si="1"/>
        <v>29</v>
      </c>
      <c r="G67" s="91" t="s">
        <v>42</v>
      </c>
      <c r="H67" s="91"/>
      <c r="I67" s="106"/>
      <c r="J67" s="105" t="s">
        <v>113</v>
      </c>
      <c r="K67" s="91"/>
      <c r="L67" s="91"/>
      <c r="M67" s="107"/>
    </row>
    <row r="68" spans="1:13" ht="15.75" thickBot="1" x14ac:dyDescent="0.3">
      <c r="A68" s="144" t="s">
        <v>23</v>
      </c>
      <c r="B68" s="124"/>
      <c r="C68" s="106"/>
      <c r="D68" s="106"/>
      <c r="E68" s="145">
        <v>8800</v>
      </c>
      <c r="F68" s="168">
        <f t="shared" si="1"/>
        <v>29.333333333333332</v>
      </c>
      <c r="G68" s="91" t="s">
        <v>43</v>
      </c>
      <c r="H68" s="91"/>
      <c r="I68" s="106"/>
      <c r="J68" s="116" t="s">
        <v>38</v>
      </c>
      <c r="K68" s="117"/>
      <c r="L68" s="117"/>
      <c r="M68" s="118"/>
    </row>
    <row r="69" spans="1:13" ht="15.75" thickTop="1" x14ac:dyDescent="0.25">
      <c r="A69" s="144" t="s">
        <v>24</v>
      </c>
      <c r="B69" s="124"/>
      <c r="C69" s="106"/>
      <c r="D69" s="106"/>
      <c r="E69" s="145">
        <v>3500</v>
      </c>
      <c r="F69" s="168">
        <f t="shared" si="1"/>
        <v>11.666666666666666</v>
      </c>
      <c r="G69" s="91" t="s">
        <v>44</v>
      </c>
      <c r="H69" s="106"/>
      <c r="I69" s="106"/>
      <c r="J69" s="91"/>
      <c r="K69" s="91"/>
      <c r="L69" s="91"/>
      <c r="M69" s="107"/>
    </row>
    <row r="70" spans="1:13" x14ac:dyDescent="0.25">
      <c r="A70" s="144" t="s">
        <v>25</v>
      </c>
      <c r="B70" s="124"/>
      <c r="C70" s="106"/>
      <c r="D70" s="106"/>
      <c r="E70" s="145">
        <v>700</v>
      </c>
      <c r="F70" s="168">
        <f t="shared" si="1"/>
        <v>2.3333333333333335</v>
      </c>
      <c r="G70" s="91" t="s">
        <v>128</v>
      </c>
      <c r="H70" s="91"/>
      <c r="I70" s="106"/>
      <c r="J70" s="91"/>
      <c r="K70" s="91"/>
      <c r="L70" s="91"/>
      <c r="M70" s="107"/>
    </row>
    <row r="71" spans="1:13" x14ac:dyDescent="0.25">
      <c r="A71" s="144" t="s">
        <v>26</v>
      </c>
      <c r="B71" s="124"/>
      <c r="C71" s="106"/>
      <c r="D71" s="106"/>
      <c r="E71" s="145">
        <v>1800</v>
      </c>
      <c r="F71" s="168">
        <f t="shared" si="1"/>
        <v>6</v>
      </c>
      <c r="G71" s="91" t="s">
        <v>45</v>
      </c>
      <c r="H71" s="91"/>
      <c r="I71" s="106"/>
      <c r="J71" s="91"/>
      <c r="K71" s="91"/>
      <c r="L71" s="91"/>
      <c r="M71" s="107"/>
    </row>
    <row r="72" spans="1:13" x14ac:dyDescent="0.25">
      <c r="A72" s="144" t="s">
        <v>27</v>
      </c>
      <c r="B72" s="124"/>
      <c r="C72" s="106"/>
      <c r="D72" s="106"/>
      <c r="E72" s="145">
        <v>1900</v>
      </c>
      <c r="F72" s="168">
        <f t="shared" si="1"/>
        <v>6.333333333333333</v>
      </c>
      <c r="G72" s="91" t="s">
        <v>46</v>
      </c>
      <c r="H72" s="91"/>
      <c r="I72" s="106"/>
      <c r="J72" s="91"/>
      <c r="K72" s="91"/>
      <c r="L72" s="91"/>
      <c r="M72" s="107"/>
    </row>
    <row r="73" spans="1:13" x14ac:dyDescent="0.25">
      <c r="A73" s="105"/>
      <c r="B73" s="106"/>
      <c r="C73" s="106"/>
      <c r="D73" s="106"/>
      <c r="E73" s="106"/>
      <c r="F73" s="91"/>
      <c r="G73" s="106"/>
      <c r="H73" s="106"/>
      <c r="I73" s="91"/>
      <c r="J73" s="91"/>
      <c r="K73" s="91"/>
      <c r="L73" s="91"/>
      <c r="M73" s="107"/>
    </row>
    <row r="74" spans="1:13" ht="15.75" thickBot="1" x14ac:dyDescent="0.3">
      <c r="A74" s="116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8"/>
    </row>
    <row r="75" spans="1:13" ht="15.75" thickTop="1" x14ac:dyDescent="0.25">
      <c r="A75" s="106"/>
      <c r="B75" s="106"/>
      <c r="C75" s="106"/>
      <c r="D75" s="106"/>
      <c r="E75" s="106"/>
      <c r="F75" s="106"/>
      <c r="G75" s="106"/>
      <c r="H75" s="91"/>
      <c r="I75" s="91"/>
      <c r="J75" s="102"/>
      <c r="K75" s="106"/>
      <c r="L75" s="106"/>
      <c r="M75" s="102"/>
    </row>
    <row r="76" spans="1:13" ht="15.75" thickBot="1" x14ac:dyDescent="0.3">
      <c r="A76" s="106"/>
      <c r="B76" s="106"/>
      <c r="C76" s="106"/>
      <c r="D76" s="106"/>
      <c r="E76" s="106"/>
      <c r="F76" s="106"/>
      <c r="G76" s="91"/>
      <c r="H76" s="91"/>
      <c r="I76" s="91"/>
      <c r="J76" s="117"/>
      <c r="K76" s="106"/>
      <c r="L76" s="106"/>
      <c r="M76" s="117"/>
    </row>
    <row r="77" spans="1:13" ht="22.5" thickTop="1" thickBot="1" x14ac:dyDescent="0.4">
      <c r="A77" s="129" t="s">
        <v>109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4"/>
    </row>
    <row r="78" spans="1:13" ht="14.25" customHeight="1" thickTop="1" x14ac:dyDescent="0.35">
      <c r="A78" s="146"/>
      <c r="B78" s="91"/>
      <c r="C78" s="106"/>
      <c r="D78" s="106"/>
      <c r="E78" s="91" t="s">
        <v>108</v>
      </c>
      <c r="F78" s="91" t="s">
        <v>177</v>
      </c>
      <c r="G78" s="106"/>
      <c r="H78" s="91"/>
      <c r="I78" s="91"/>
      <c r="J78" s="103" t="s">
        <v>114</v>
      </c>
      <c r="K78" s="102"/>
      <c r="L78" s="102"/>
      <c r="M78" s="104"/>
    </row>
    <row r="79" spans="1:13" x14ac:dyDescent="0.25">
      <c r="A79" s="105"/>
      <c r="B79" s="106"/>
      <c r="C79" s="91"/>
      <c r="D79" s="106"/>
      <c r="E79" s="91"/>
      <c r="F79" s="91" t="s">
        <v>176</v>
      </c>
      <c r="G79" s="91"/>
      <c r="H79" s="91"/>
      <c r="I79" s="91"/>
      <c r="J79" s="105" t="s">
        <v>111</v>
      </c>
      <c r="K79" s="91"/>
      <c r="L79" s="91"/>
      <c r="M79" s="107"/>
    </row>
    <row r="80" spans="1:13" x14ac:dyDescent="0.25">
      <c r="A80" s="144" t="s">
        <v>28</v>
      </c>
      <c r="B80" s="124"/>
      <c r="C80" s="106"/>
      <c r="D80" s="106"/>
      <c r="E80" s="145">
        <v>2500</v>
      </c>
      <c r="F80" s="168">
        <f>E80/E$8</f>
        <v>8.3333333333333339</v>
      </c>
      <c r="G80" s="91" t="s">
        <v>47</v>
      </c>
      <c r="H80" s="91"/>
      <c r="I80" s="106"/>
      <c r="J80" s="105" t="s">
        <v>112</v>
      </c>
      <c r="K80" s="91"/>
      <c r="L80" s="91"/>
      <c r="M80" s="107"/>
    </row>
    <row r="81" spans="1:13" x14ac:dyDescent="0.25">
      <c r="A81" s="144" t="s">
        <v>29</v>
      </c>
      <c r="B81" s="124"/>
      <c r="C81" s="106"/>
      <c r="D81" s="106"/>
      <c r="E81" s="145">
        <v>2600</v>
      </c>
      <c r="F81" s="168">
        <f>E81/E$8</f>
        <v>8.6666666666666661</v>
      </c>
      <c r="G81" s="91" t="s">
        <v>48</v>
      </c>
      <c r="H81" s="91"/>
      <c r="I81" s="106"/>
      <c r="J81" s="105" t="s">
        <v>113</v>
      </c>
      <c r="K81" s="91"/>
      <c r="L81" s="91"/>
      <c r="M81" s="107"/>
    </row>
    <row r="82" spans="1:13" ht="15.75" thickBot="1" x14ac:dyDescent="0.3">
      <c r="A82" s="144" t="s">
        <v>30</v>
      </c>
      <c r="B82" s="124"/>
      <c r="C82" s="106"/>
      <c r="D82" s="106"/>
      <c r="E82" s="145">
        <v>4500</v>
      </c>
      <c r="F82" s="168">
        <f>E82/E$8</f>
        <v>15</v>
      </c>
      <c r="G82" s="91" t="s">
        <v>15</v>
      </c>
      <c r="H82" s="91"/>
      <c r="I82" s="106"/>
      <c r="J82" s="116" t="s">
        <v>38</v>
      </c>
      <c r="K82" s="117"/>
      <c r="L82" s="117"/>
      <c r="M82" s="118"/>
    </row>
    <row r="83" spans="1:13" ht="16.5" thickTop="1" thickBot="1" x14ac:dyDescent="0.3">
      <c r="A83" s="147" t="s">
        <v>60</v>
      </c>
      <c r="B83" s="148"/>
      <c r="C83" s="117"/>
      <c r="D83" s="117"/>
      <c r="E83" s="142">
        <v>13200</v>
      </c>
      <c r="F83" s="170">
        <f>E83/E$8</f>
        <v>44</v>
      </c>
      <c r="G83" s="117" t="s">
        <v>61</v>
      </c>
      <c r="H83" s="117"/>
      <c r="I83" s="117"/>
      <c r="J83" s="117"/>
      <c r="K83" s="117"/>
      <c r="L83" s="117"/>
      <c r="M83" s="118"/>
    </row>
    <row r="84" spans="1:13" ht="15.75" thickTop="1" x14ac:dyDescent="0.25">
      <c r="A84" s="106"/>
      <c r="B84" s="106"/>
      <c r="C84" s="106"/>
      <c r="D84" s="106"/>
      <c r="E84" s="106"/>
      <c r="F84" s="106"/>
      <c r="G84" s="106"/>
      <c r="H84" s="106"/>
      <c r="I84" s="106"/>
      <c r="J84" s="91"/>
      <c r="K84" s="106"/>
      <c r="L84" s="106"/>
      <c r="M84" s="106"/>
    </row>
    <row r="85" spans="1:13" ht="15.75" thickBot="1" x14ac:dyDescent="0.3">
      <c r="A85" s="106"/>
      <c r="B85" s="106"/>
      <c r="C85" s="106"/>
      <c r="D85" s="106"/>
      <c r="E85" s="106"/>
      <c r="F85" s="106"/>
      <c r="G85" s="106"/>
      <c r="H85" s="106"/>
      <c r="I85" s="106"/>
      <c r="J85" s="91"/>
      <c r="K85" s="106"/>
      <c r="L85" s="106"/>
      <c r="M85" s="106"/>
    </row>
    <row r="86" spans="1:13" ht="24" thickTop="1" x14ac:dyDescent="0.35">
      <c r="A86" s="119" t="s">
        <v>189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4"/>
    </row>
    <row r="87" spans="1:13" x14ac:dyDescent="0.25">
      <c r="A87" s="130" t="s">
        <v>198</v>
      </c>
      <c r="B87" s="91"/>
      <c r="C87" s="91" t="s">
        <v>195</v>
      </c>
      <c r="D87" s="91" t="s">
        <v>196</v>
      </c>
      <c r="E87" s="91" t="s">
        <v>197</v>
      </c>
      <c r="F87" s="91" t="s">
        <v>196</v>
      </c>
      <c r="G87" s="149" t="s">
        <v>199</v>
      </c>
      <c r="H87" s="91" t="s">
        <v>195</v>
      </c>
      <c r="I87" s="91" t="s">
        <v>196</v>
      </c>
      <c r="J87" s="91" t="s">
        <v>197</v>
      </c>
      <c r="K87" s="91" t="s">
        <v>196</v>
      </c>
      <c r="L87" s="91"/>
      <c r="M87" s="107"/>
    </row>
    <row r="88" spans="1:13" x14ac:dyDescent="0.25">
      <c r="A88" s="150" t="s">
        <v>5</v>
      </c>
      <c r="B88" s="124"/>
      <c r="C88" s="151">
        <f>E8</f>
        <v>300</v>
      </c>
      <c r="D88" s="152">
        <f>E29</f>
        <v>1800</v>
      </c>
      <c r="E88" s="152"/>
      <c r="F88" s="171">
        <f>C88*D88</f>
        <v>540000</v>
      </c>
      <c r="G88" s="106"/>
      <c r="H88" s="151">
        <f>C88+C90-E9-E12</f>
        <v>320</v>
      </c>
      <c r="I88" s="152">
        <f>D88</f>
        <v>1800</v>
      </c>
      <c r="J88" s="152"/>
      <c r="K88" s="171">
        <f>H88*I88</f>
        <v>576000</v>
      </c>
      <c r="L88" s="91"/>
      <c r="M88" s="107"/>
    </row>
    <row r="89" spans="1:13" x14ac:dyDescent="0.25">
      <c r="A89" s="150" t="s">
        <v>4</v>
      </c>
      <c r="B89" s="124"/>
      <c r="C89" s="153">
        <f>E15-E16</f>
        <v>9</v>
      </c>
      <c r="D89" s="154">
        <f>E28</f>
        <v>1.35</v>
      </c>
      <c r="E89" s="152">
        <f>J28</f>
        <v>1510</v>
      </c>
      <c r="F89" s="171">
        <f>C89*D89*E89</f>
        <v>18346.5</v>
      </c>
      <c r="G89" s="106"/>
      <c r="H89" s="153">
        <f>E15+E18-E16</f>
        <v>9</v>
      </c>
      <c r="I89" s="154">
        <f>D89</f>
        <v>1.35</v>
      </c>
      <c r="J89" s="152">
        <f>E89</f>
        <v>1510</v>
      </c>
      <c r="K89" s="171">
        <f>H89*I89*J89</f>
        <v>18346.5</v>
      </c>
      <c r="L89" s="91"/>
      <c r="M89" s="107"/>
    </row>
    <row r="90" spans="1:13" x14ac:dyDescent="0.25">
      <c r="A90" s="150" t="s">
        <v>191</v>
      </c>
      <c r="B90" s="124"/>
      <c r="C90" s="151">
        <f>E10+E11</f>
        <v>60</v>
      </c>
      <c r="D90" s="155"/>
      <c r="E90" s="156"/>
      <c r="F90" s="171">
        <f>E33*C90</f>
        <v>147600</v>
      </c>
      <c r="G90" s="106"/>
      <c r="H90" s="151">
        <f>C92+E10</f>
        <v>60</v>
      </c>
      <c r="I90" s="154"/>
      <c r="J90" s="152"/>
      <c r="K90" s="171">
        <f>E33*C90</f>
        <v>147600</v>
      </c>
      <c r="L90" s="91"/>
      <c r="M90" s="107"/>
    </row>
    <row r="91" spans="1:13" x14ac:dyDescent="0.25">
      <c r="A91" s="150" t="s">
        <v>190</v>
      </c>
      <c r="B91" s="124"/>
      <c r="C91" s="151">
        <f>E17</f>
        <v>3</v>
      </c>
      <c r="D91" s="157"/>
      <c r="E91" s="158"/>
      <c r="F91" s="171">
        <f>E32*C91</f>
        <v>9135</v>
      </c>
      <c r="G91" s="106"/>
      <c r="H91" s="151">
        <f>E17</f>
        <v>3</v>
      </c>
      <c r="I91" s="154"/>
      <c r="J91" s="152"/>
      <c r="K91" s="171">
        <f>E32*C91</f>
        <v>9135</v>
      </c>
      <c r="L91" s="91"/>
      <c r="M91" s="107"/>
    </row>
    <row r="92" spans="1:13" x14ac:dyDescent="0.25">
      <c r="A92" s="150" t="s">
        <v>192</v>
      </c>
      <c r="B92" s="124"/>
      <c r="C92" s="151">
        <f>E19</f>
        <v>10</v>
      </c>
      <c r="D92" s="154">
        <f>E25</f>
        <v>2.2000000000000002</v>
      </c>
      <c r="E92" s="152">
        <f>J25</f>
        <v>530</v>
      </c>
      <c r="F92" s="171">
        <f>C92*D92*E92</f>
        <v>11660</v>
      </c>
      <c r="G92" s="106"/>
      <c r="H92" s="151">
        <f>E19</f>
        <v>10</v>
      </c>
      <c r="I92" s="154">
        <f>E25</f>
        <v>2.2000000000000002</v>
      </c>
      <c r="J92" s="153">
        <f>J25</f>
        <v>530</v>
      </c>
      <c r="K92" s="171">
        <f>H92*I92*J92</f>
        <v>11660</v>
      </c>
      <c r="L92" s="91"/>
      <c r="M92" s="107"/>
    </row>
    <row r="93" spans="1:13" x14ac:dyDescent="0.25">
      <c r="A93" s="150" t="s">
        <v>193</v>
      </c>
      <c r="B93" s="124"/>
      <c r="C93" s="151">
        <f>E20</f>
        <v>0</v>
      </c>
      <c r="D93" s="154">
        <f>E26</f>
        <v>2.4</v>
      </c>
      <c r="E93" s="152">
        <f>J26</f>
        <v>555</v>
      </c>
      <c r="F93" s="171">
        <f t="shared" ref="F93:F94" si="2">C93*D93*E93</f>
        <v>0</v>
      </c>
      <c r="G93" s="106"/>
      <c r="H93" s="159"/>
      <c r="I93" s="159"/>
      <c r="J93" s="159"/>
      <c r="K93" s="159"/>
      <c r="L93" s="91"/>
      <c r="M93" s="107"/>
    </row>
    <row r="94" spans="1:13" x14ac:dyDescent="0.25">
      <c r="A94" s="150" t="s">
        <v>194</v>
      </c>
      <c r="B94" s="124"/>
      <c r="C94" s="151">
        <f>E18</f>
        <v>0</v>
      </c>
      <c r="D94" s="151">
        <v>0</v>
      </c>
      <c r="E94" s="152">
        <v>0</v>
      </c>
      <c r="F94" s="171">
        <f t="shared" si="2"/>
        <v>0</v>
      </c>
      <c r="G94" s="106"/>
      <c r="H94" s="159"/>
      <c r="I94" s="159"/>
      <c r="J94" s="159"/>
      <c r="K94" s="159"/>
      <c r="L94" s="91"/>
      <c r="M94" s="107"/>
    </row>
    <row r="95" spans="1:13" x14ac:dyDescent="0.25">
      <c r="A95" s="160"/>
      <c r="B95" s="112"/>
      <c r="C95" s="112"/>
      <c r="D95" s="123" t="s">
        <v>18</v>
      </c>
      <c r="E95" s="161"/>
      <c r="F95" s="162">
        <f>SUM(F88:F94)</f>
        <v>726741.5</v>
      </c>
      <c r="G95" s="106"/>
      <c r="H95" s="91"/>
      <c r="I95" s="108" t="s">
        <v>18</v>
      </c>
      <c r="J95" s="110"/>
      <c r="K95" s="162">
        <f>SUM(K88:K94)</f>
        <v>762741.5</v>
      </c>
      <c r="L95" s="91"/>
      <c r="M95" s="107"/>
    </row>
    <row r="96" spans="1:13" ht="15.75" thickBot="1" x14ac:dyDescent="0.3">
      <c r="A96" s="116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8"/>
    </row>
    <row r="97" ht="15.75" thickTop="1" x14ac:dyDescent="0.25"/>
  </sheetData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workbookViewId="0">
      <selection activeCell="E28" sqref="E28"/>
    </sheetView>
  </sheetViews>
  <sheetFormatPr defaultRowHeight="15" x14ac:dyDescent="0.25"/>
  <cols>
    <col min="1" max="1" width="22.28515625" customWidth="1"/>
    <col min="2" max="2" width="10.28515625" customWidth="1"/>
    <col min="3" max="3" width="11.42578125" customWidth="1"/>
    <col min="4" max="4" width="12.5703125" customWidth="1"/>
    <col min="5" max="5" width="11.7109375" customWidth="1"/>
    <col min="8" max="8" width="18.42578125" customWidth="1"/>
  </cols>
  <sheetData>
    <row r="1" spans="1:9" ht="24.75" customHeight="1" thickBot="1" x14ac:dyDescent="0.5">
      <c r="A1" s="87" t="s">
        <v>230</v>
      </c>
    </row>
    <row r="2" spans="1:9" ht="15.75" thickTop="1" x14ac:dyDescent="0.25">
      <c r="A2" s="40"/>
      <c r="B2" s="3"/>
      <c r="C2" s="41"/>
      <c r="D2" s="41"/>
      <c r="E2" s="41"/>
      <c r="F2" s="41"/>
      <c r="G2" s="41"/>
      <c r="H2" s="39"/>
    </row>
    <row r="3" spans="1:9" x14ac:dyDescent="0.25">
      <c r="A3" s="29"/>
      <c r="B3" s="16"/>
      <c r="C3" s="16"/>
      <c r="D3" s="16"/>
      <c r="E3" s="16"/>
      <c r="F3" s="16"/>
      <c r="G3" s="16"/>
      <c r="H3" s="30" t="s">
        <v>115</v>
      </c>
    </row>
    <row r="4" spans="1:9" ht="18.75" x14ac:dyDescent="0.3">
      <c r="A4" s="89" t="s">
        <v>73</v>
      </c>
      <c r="B4" s="16"/>
      <c r="C4" s="17"/>
      <c r="D4" s="16"/>
      <c r="E4" s="16" t="s">
        <v>2</v>
      </c>
      <c r="F4" s="16"/>
      <c r="G4" s="16"/>
      <c r="H4" s="30"/>
    </row>
    <row r="5" spans="1:9" x14ac:dyDescent="0.25">
      <c r="A5" s="15"/>
      <c r="B5" s="9" t="s">
        <v>3</v>
      </c>
      <c r="C5" s="5" t="s">
        <v>72</v>
      </c>
      <c r="D5" s="9" t="s">
        <v>74</v>
      </c>
      <c r="E5" s="9" t="s">
        <v>71</v>
      </c>
      <c r="F5" s="6" t="s">
        <v>18</v>
      </c>
      <c r="G5" s="9" t="s">
        <v>19</v>
      </c>
      <c r="H5" s="30"/>
      <c r="I5" s="11"/>
    </row>
    <row r="6" spans="1:9" x14ac:dyDescent="0.25">
      <c r="A6" s="71" t="s">
        <v>5</v>
      </c>
      <c r="B6" s="51">
        <f>input!E8</f>
        <v>300</v>
      </c>
      <c r="C6" s="7"/>
      <c r="D6" s="7"/>
      <c r="E6" s="7"/>
      <c r="F6" s="7"/>
      <c r="G6" s="16"/>
      <c r="H6" s="30"/>
    </row>
    <row r="7" spans="1:9" x14ac:dyDescent="0.25">
      <c r="A7" s="71" t="s">
        <v>178</v>
      </c>
      <c r="B7" s="51">
        <f>input!E9</f>
        <v>30</v>
      </c>
      <c r="C7" s="52">
        <f>input!J27</f>
        <v>1305</v>
      </c>
      <c r="D7" s="53">
        <f>input!E27</f>
        <v>1.2</v>
      </c>
      <c r="E7" s="54">
        <f>+(C7*D7)</f>
        <v>1566</v>
      </c>
      <c r="F7" s="42">
        <f>E7*B7</f>
        <v>46980</v>
      </c>
      <c r="G7" s="27">
        <f>F7/B6</f>
        <v>156.6</v>
      </c>
      <c r="H7" s="30"/>
    </row>
    <row r="8" spans="1:9" x14ac:dyDescent="0.25">
      <c r="A8" s="71" t="s">
        <v>64</v>
      </c>
      <c r="B8" s="55">
        <f>input!E12</f>
        <v>10</v>
      </c>
      <c r="C8" s="18"/>
      <c r="D8" s="7"/>
      <c r="E8" s="24"/>
      <c r="F8" s="46"/>
      <c r="G8" s="45"/>
      <c r="H8" s="30"/>
    </row>
    <row r="9" spans="1:9" x14ac:dyDescent="0.25">
      <c r="A9" s="71" t="s">
        <v>236</v>
      </c>
      <c r="B9" s="51">
        <f>input!E10</f>
        <v>50</v>
      </c>
      <c r="C9" s="22"/>
      <c r="D9" s="7"/>
      <c r="E9" s="54">
        <f>input!E33</f>
        <v>2460</v>
      </c>
      <c r="F9" s="42">
        <f>-E9*B9</f>
        <v>-123000</v>
      </c>
      <c r="G9" s="10">
        <f>F9/B6</f>
        <v>-410</v>
      </c>
      <c r="H9" s="30"/>
    </row>
    <row r="10" spans="1:9" x14ac:dyDescent="0.25">
      <c r="A10" s="71" t="s">
        <v>237</v>
      </c>
      <c r="B10" s="51">
        <f>input!E11</f>
        <v>10</v>
      </c>
      <c r="C10" s="22"/>
      <c r="D10" s="7"/>
      <c r="E10" s="22"/>
      <c r="F10" s="49"/>
      <c r="G10" s="50"/>
      <c r="H10" s="30"/>
    </row>
    <row r="11" spans="1:9" x14ac:dyDescent="0.25">
      <c r="A11" s="71" t="s">
        <v>4</v>
      </c>
      <c r="B11" s="56">
        <f>input!E15</f>
        <v>12</v>
      </c>
      <c r="C11" s="22"/>
      <c r="D11" s="22"/>
      <c r="E11" s="22"/>
      <c r="F11" s="43"/>
      <c r="G11" s="44"/>
      <c r="H11" s="36"/>
    </row>
    <row r="12" spans="1:9" x14ac:dyDescent="0.25">
      <c r="A12" s="71" t="s">
        <v>62</v>
      </c>
      <c r="B12" s="56">
        <f>input!E17</f>
        <v>3</v>
      </c>
      <c r="C12" s="54">
        <f>input!J28</f>
        <v>1510</v>
      </c>
      <c r="D12" s="57">
        <f>input!E28</f>
        <v>1.35</v>
      </c>
      <c r="E12" s="58">
        <f>C12*D12</f>
        <v>2038.5000000000002</v>
      </c>
      <c r="F12" s="42">
        <f>E12*B12</f>
        <v>6115.5000000000009</v>
      </c>
      <c r="G12" s="27">
        <f>F12/B6</f>
        <v>20.385000000000002</v>
      </c>
      <c r="H12" s="30"/>
    </row>
    <row r="13" spans="1:9" x14ac:dyDescent="0.25">
      <c r="A13" s="71" t="s">
        <v>63</v>
      </c>
      <c r="B13" s="51">
        <f>B12</f>
        <v>3</v>
      </c>
      <c r="C13" s="22"/>
      <c r="D13" s="22"/>
      <c r="E13" s="54">
        <f>input!E32</f>
        <v>3045</v>
      </c>
      <c r="F13" s="42">
        <f>-E13*B13</f>
        <v>-9135</v>
      </c>
      <c r="G13" s="27">
        <f>F13/B6</f>
        <v>-30.45</v>
      </c>
      <c r="H13" s="36"/>
    </row>
    <row r="14" spans="1:9" x14ac:dyDescent="0.25">
      <c r="A14" s="71" t="s">
        <v>18</v>
      </c>
      <c r="B14" s="59">
        <f>B6-B7+B9-B8+B10+B11-B12+B13</f>
        <v>332</v>
      </c>
      <c r="C14" s="7"/>
      <c r="D14" s="16"/>
      <c r="E14" s="16"/>
      <c r="F14" s="14">
        <f>F7+F9+F12+F13</f>
        <v>-79039.5</v>
      </c>
      <c r="G14" s="13">
        <f>F14/$B$6</f>
        <v>-263.46499999999997</v>
      </c>
      <c r="H14" s="36" t="s">
        <v>141</v>
      </c>
    </row>
    <row r="15" spans="1:9" x14ac:dyDescent="0.25">
      <c r="A15" s="72"/>
      <c r="B15" s="16"/>
      <c r="C15" s="16"/>
      <c r="D15" s="16"/>
      <c r="E15" s="16"/>
      <c r="F15" s="33"/>
      <c r="G15" s="8"/>
      <c r="H15" s="31"/>
    </row>
    <row r="16" spans="1:9" x14ac:dyDescent="0.25">
      <c r="A16" s="73" t="s">
        <v>83</v>
      </c>
      <c r="B16" s="21" t="s">
        <v>3</v>
      </c>
      <c r="C16" s="21" t="s">
        <v>72</v>
      </c>
      <c r="D16" s="21" t="s">
        <v>70</v>
      </c>
      <c r="E16" s="21" t="s">
        <v>71</v>
      </c>
      <c r="F16" s="33"/>
      <c r="G16" s="8"/>
      <c r="H16" s="31"/>
    </row>
    <row r="17" spans="1:8" x14ac:dyDescent="0.25">
      <c r="A17" s="71" t="s">
        <v>179</v>
      </c>
      <c r="B17" s="60">
        <f>input!E14-input!E18</f>
        <v>137</v>
      </c>
      <c r="C17" s="52">
        <f>input!J26</f>
        <v>555</v>
      </c>
      <c r="D17" s="53">
        <f>input!E26</f>
        <v>2.4</v>
      </c>
      <c r="E17" s="61">
        <f>C17*D17</f>
        <v>1332</v>
      </c>
      <c r="F17" s="42">
        <f>E17*B17</f>
        <v>182484</v>
      </c>
      <c r="G17" s="8"/>
      <c r="H17" s="31"/>
    </row>
    <row r="18" spans="1:8" x14ac:dyDescent="0.25">
      <c r="A18" s="71" t="s">
        <v>180</v>
      </c>
      <c r="B18" s="60">
        <f>(input!E14-input!E11)</f>
        <v>127</v>
      </c>
      <c r="C18" s="52">
        <f>input!J25</f>
        <v>530</v>
      </c>
      <c r="D18" s="53">
        <f>input!E25</f>
        <v>2.2000000000000002</v>
      </c>
      <c r="E18" s="61">
        <f>C18*D18</f>
        <v>1166</v>
      </c>
      <c r="F18" s="42">
        <f>E18*B18</f>
        <v>148082</v>
      </c>
      <c r="G18" s="8"/>
      <c r="H18" s="31"/>
    </row>
    <row r="19" spans="1:8" x14ac:dyDescent="0.25">
      <c r="A19" s="74" t="s">
        <v>36</v>
      </c>
      <c r="B19" s="16"/>
      <c r="C19" s="25"/>
      <c r="D19" s="25"/>
      <c r="E19" s="7"/>
      <c r="F19" s="42">
        <f>F17+F18+F14</f>
        <v>251526.5</v>
      </c>
      <c r="G19" s="23">
        <f>F19/$B$6</f>
        <v>838.42166666666662</v>
      </c>
      <c r="H19" s="36" t="s">
        <v>142</v>
      </c>
    </row>
    <row r="20" spans="1:8" x14ac:dyDescent="0.25">
      <c r="A20" s="29"/>
      <c r="B20" s="16"/>
      <c r="C20" s="16"/>
      <c r="D20" s="16"/>
      <c r="E20" s="16"/>
      <c r="F20" s="33"/>
      <c r="G20" s="8"/>
      <c r="H20" s="31"/>
    </row>
    <row r="21" spans="1:8" ht="18.75" x14ac:dyDescent="0.3">
      <c r="A21" s="89" t="s">
        <v>1</v>
      </c>
      <c r="B21" s="16"/>
      <c r="C21" s="17"/>
      <c r="D21" s="16"/>
      <c r="E21" s="16"/>
      <c r="F21" s="33"/>
      <c r="G21" s="8"/>
      <c r="H21" s="31"/>
    </row>
    <row r="22" spans="1:8" x14ac:dyDescent="0.25">
      <c r="A22" s="29"/>
      <c r="B22" s="16"/>
      <c r="C22" s="21" t="s">
        <v>183</v>
      </c>
      <c r="D22" s="21" t="s">
        <v>75</v>
      </c>
      <c r="E22" s="7"/>
      <c r="F22" s="4" t="s">
        <v>18</v>
      </c>
      <c r="G22" s="2" t="s">
        <v>35</v>
      </c>
      <c r="H22" s="31"/>
    </row>
    <row r="23" spans="1:8" x14ac:dyDescent="0.25">
      <c r="A23" s="71" t="s">
        <v>18</v>
      </c>
      <c r="B23" s="16"/>
      <c r="C23" s="52">
        <f>input!H46</f>
        <v>2101</v>
      </c>
      <c r="D23" s="53">
        <f>F23/C23</f>
        <v>15.44026653974298</v>
      </c>
      <c r="E23" s="7"/>
      <c r="F23" s="42">
        <f>input!I46</f>
        <v>32440</v>
      </c>
      <c r="G23" s="13">
        <f>F23/$B$6</f>
        <v>108.13333333333334</v>
      </c>
      <c r="H23" s="36" t="s">
        <v>125</v>
      </c>
    </row>
    <row r="24" spans="1:8" x14ac:dyDescent="0.25">
      <c r="A24" s="29"/>
      <c r="B24" s="16"/>
      <c r="C24" s="18"/>
      <c r="D24" s="18"/>
      <c r="E24" s="16"/>
      <c r="F24" s="16"/>
      <c r="G24" s="16"/>
      <c r="H24" s="30"/>
    </row>
    <row r="25" spans="1:8" ht="18.75" x14ac:dyDescent="0.3">
      <c r="A25" s="89" t="s">
        <v>82</v>
      </c>
      <c r="B25" s="16"/>
      <c r="C25" s="17"/>
      <c r="D25" s="16"/>
      <c r="E25" s="16"/>
      <c r="F25" s="16"/>
      <c r="G25" s="8"/>
      <c r="H25" s="30"/>
    </row>
    <row r="26" spans="1:8" x14ac:dyDescent="0.25">
      <c r="A26" s="71" t="s">
        <v>181</v>
      </c>
      <c r="B26" s="16"/>
      <c r="C26" s="21" t="s">
        <v>0</v>
      </c>
      <c r="D26" s="21" t="s">
        <v>77</v>
      </c>
      <c r="E26" s="7"/>
      <c r="F26" s="1" t="s">
        <v>18</v>
      </c>
      <c r="G26" s="2" t="s">
        <v>35</v>
      </c>
      <c r="H26" s="30"/>
    </row>
    <row r="27" spans="1:8" x14ac:dyDescent="0.25">
      <c r="A27" s="75" t="s">
        <v>233</v>
      </c>
      <c r="B27" s="16"/>
      <c r="C27" s="62">
        <f>(input!J50*input!E$8)</f>
        <v>174.85714285714286</v>
      </c>
      <c r="D27" s="62">
        <f>input!E50</f>
        <v>84</v>
      </c>
      <c r="E27" s="7"/>
      <c r="F27" s="12">
        <f>+C27*D27</f>
        <v>14688</v>
      </c>
      <c r="G27" s="27">
        <f>F27/B6</f>
        <v>48.96</v>
      </c>
      <c r="H27" s="36" t="s">
        <v>120</v>
      </c>
    </row>
    <row r="28" spans="1:8" x14ac:dyDescent="0.25">
      <c r="A28" s="75" t="s">
        <v>234</v>
      </c>
      <c r="B28" s="16"/>
      <c r="C28" s="62">
        <f>(input!J51*input!E$8)</f>
        <v>654.54857142857134</v>
      </c>
      <c r="D28" s="62">
        <f>input!E51</f>
        <v>66</v>
      </c>
      <c r="E28" s="7"/>
      <c r="F28" s="12">
        <f>+C28*D28</f>
        <v>43200.205714285708</v>
      </c>
      <c r="G28" s="27">
        <f>F28/B6</f>
        <v>144.00068571428571</v>
      </c>
      <c r="H28" s="36" t="s">
        <v>121</v>
      </c>
    </row>
    <row r="29" spans="1:8" x14ac:dyDescent="0.25">
      <c r="A29" s="75" t="s">
        <v>235</v>
      </c>
      <c r="B29" s="16"/>
      <c r="C29" s="62">
        <f>(input!J52*input!E$8)</f>
        <v>154.45714285714288</v>
      </c>
      <c r="D29" s="62">
        <f>input!E52</f>
        <v>42</v>
      </c>
      <c r="E29" s="7"/>
      <c r="F29" s="12">
        <f>+C29*D29</f>
        <v>6487.2000000000007</v>
      </c>
      <c r="G29" s="27">
        <f>F29/B6</f>
        <v>21.624000000000002</v>
      </c>
      <c r="H29" s="36" t="s">
        <v>122</v>
      </c>
    </row>
    <row r="30" spans="1:8" x14ac:dyDescent="0.25">
      <c r="A30" s="75" t="s">
        <v>31</v>
      </c>
      <c r="B30" s="16"/>
      <c r="C30" s="62">
        <f>(input!J53*input!E8)</f>
        <v>760.62857142857138</v>
      </c>
      <c r="D30" s="62">
        <f>input!E53</f>
        <v>28</v>
      </c>
      <c r="E30" s="7"/>
      <c r="F30" s="12">
        <f>C30*D30</f>
        <v>21297.599999999999</v>
      </c>
      <c r="G30" s="27">
        <f>F30/B6</f>
        <v>70.99199999999999</v>
      </c>
      <c r="H30" s="36" t="s">
        <v>123</v>
      </c>
    </row>
    <row r="31" spans="1:8" x14ac:dyDescent="0.25">
      <c r="A31" s="75" t="s">
        <v>216</v>
      </c>
      <c r="B31" s="16"/>
      <c r="C31" s="62">
        <f>input!J54*input!E8</f>
        <v>7606.2857142857138</v>
      </c>
      <c r="D31" s="62">
        <f>input!E54</f>
        <v>3</v>
      </c>
      <c r="E31" s="7"/>
      <c r="F31" s="12">
        <f>+C31*D31</f>
        <v>22818.857142857141</v>
      </c>
      <c r="G31" s="27">
        <f>F31/B6</f>
        <v>76.062857142857141</v>
      </c>
      <c r="H31" s="36" t="s">
        <v>116</v>
      </c>
    </row>
    <row r="32" spans="1:8" x14ac:dyDescent="0.25">
      <c r="A32" s="75" t="s">
        <v>117</v>
      </c>
      <c r="B32" s="16"/>
      <c r="C32" s="62">
        <f>input!I55</f>
        <v>0</v>
      </c>
      <c r="D32" s="62">
        <f>input!E55</f>
        <v>0</v>
      </c>
      <c r="E32" s="7"/>
      <c r="F32" s="12">
        <f>+C32*D32</f>
        <v>0</v>
      </c>
      <c r="G32" s="27">
        <f>F32/B6</f>
        <v>0</v>
      </c>
      <c r="H32" s="36"/>
    </row>
    <row r="33" spans="1:12" x14ac:dyDescent="0.25">
      <c r="A33" s="75" t="s">
        <v>76</v>
      </c>
      <c r="B33" s="16"/>
      <c r="C33" s="62">
        <f>input!E56</f>
        <v>10645.885714285714</v>
      </c>
      <c r="D33" s="26"/>
      <c r="E33" s="7"/>
      <c r="F33" s="12">
        <f>input!J56*B6</f>
        <v>10645.885714285714</v>
      </c>
      <c r="G33" s="27">
        <f>F33/B6</f>
        <v>35.486285714285714</v>
      </c>
      <c r="H33" s="36" t="s">
        <v>124</v>
      </c>
    </row>
    <row r="34" spans="1:12" x14ac:dyDescent="0.25">
      <c r="A34" s="76" t="s">
        <v>32</v>
      </c>
      <c r="B34" s="16"/>
      <c r="C34" s="7"/>
      <c r="D34" s="16"/>
      <c r="E34" s="16"/>
      <c r="F34" s="12">
        <f>SUM(F27:F33)</f>
        <v>119137.74857142857</v>
      </c>
      <c r="G34" s="28">
        <f>+(F34/B6)</f>
        <v>397.1258285714286</v>
      </c>
      <c r="H34" s="36" t="s">
        <v>118</v>
      </c>
    </row>
    <row r="35" spans="1:12" x14ac:dyDescent="0.25">
      <c r="A35" s="29"/>
      <c r="B35" s="16"/>
      <c r="C35" s="16"/>
      <c r="D35" s="16"/>
      <c r="E35" s="16"/>
      <c r="F35" s="16"/>
      <c r="G35" s="8"/>
      <c r="H35" s="31"/>
    </row>
    <row r="36" spans="1:12" ht="18.75" x14ac:dyDescent="0.3">
      <c r="A36" s="89" t="s">
        <v>80</v>
      </c>
      <c r="B36" s="16"/>
      <c r="C36" s="17"/>
      <c r="D36" s="16"/>
      <c r="E36" s="16"/>
      <c r="F36" s="16" t="s">
        <v>18</v>
      </c>
      <c r="G36" s="8" t="s">
        <v>35</v>
      </c>
      <c r="H36" s="31"/>
    </row>
    <row r="37" spans="1:12" x14ac:dyDescent="0.25">
      <c r="A37" s="77" t="s">
        <v>91</v>
      </c>
      <c r="B37" s="16"/>
      <c r="C37" s="7"/>
      <c r="D37" s="16"/>
      <c r="E37" s="16"/>
      <c r="F37" s="12">
        <f>input!E65</f>
        <v>6500</v>
      </c>
      <c r="G37" s="27">
        <f>input!E65/B6</f>
        <v>21.666666666666668</v>
      </c>
      <c r="H37" s="36" t="s">
        <v>119</v>
      </c>
    </row>
    <row r="38" spans="1:12" x14ac:dyDescent="0.25">
      <c r="A38" s="77" t="s">
        <v>84</v>
      </c>
      <c r="B38" s="16"/>
      <c r="C38" s="7"/>
      <c r="D38" s="16"/>
      <c r="E38" s="16"/>
      <c r="F38" s="12">
        <f>input!E67</f>
        <v>8700</v>
      </c>
      <c r="G38" s="27">
        <f>input!E67/B6</f>
        <v>29</v>
      </c>
      <c r="H38" s="36" t="s">
        <v>126</v>
      </c>
    </row>
    <row r="39" spans="1:12" x14ac:dyDescent="0.25">
      <c r="A39" s="77" t="s">
        <v>85</v>
      </c>
      <c r="B39" s="16"/>
      <c r="C39" s="7"/>
      <c r="D39" s="16"/>
      <c r="E39" s="16"/>
      <c r="F39" s="12">
        <f>input!E81</f>
        <v>2600</v>
      </c>
      <c r="G39" s="27">
        <f>input!E81/B6</f>
        <v>8.6666666666666661</v>
      </c>
      <c r="H39" s="36" t="s">
        <v>127</v>
      </c>
      <c r="L39" s="1"/>
    </row>
    <row r="40" spans="1:12" x14ac:dyDescent="0.25">
      <c r="A40" s="77" t="s">
        <v>86</v>
      </c>
      <c r="B40" s="16"/>
      <c r="C40" s="7"/>
      <c r="D40" s="16"/>
      <c r="E40" s="16"/>
      <c r="F40" s="12">
        <f>input!E70</f>
        <v>700</v>
      </c>
      <c r="G40" s="27">
        <f>input!E70/B6</f>
        <v>2.3333333333333335</v>
      </c>
      <c r="H40" s="36" t="s">
        <v>129</v>
      </c>
    </row>
    <row r="41" spans="1:12" x14ac:dyDescent="0.25">
      <c r="A41" s="77" t="s">
        <v>87</v>
      </c>
      <c r="B41" s="16"/>
      <c r="C41" s="7"/>
      <c r="D41" s="16"/>
      <c r="E41" s="16"/>
      <c r="F41" s="12">
        <f>input!E66</f>
        <v>2800</v>
      </c>
      <c r="G41" s="27">
        <f>input!E66/B6</f>
        <v>9.3333333333333339</v>
      </c>
      <c r="H41" s="36" t="s">
        <v>130</v>
      </c>
    </row>
    <row r="42" spans="1:12" x14ac:dyDescent="0.25">
      <c r="A42" s="77" t="s">
        <v>11</v>
      </c>
      <c r="B42" s="16"/>
      <c r="C42" s="7"/>
      <c r="D42" s="16"/>
      <c r="E42" s="16"/>
      <c r="F42" s="12">
        <f>input!E68</f>
        <v>8800</v>
      </c>
      <c r="G42" s="27">
        <f>input!E68/B6</f>
        <v>29.333333333333332</v>
      </c>
      <c r="H42" s="36" t="s">
        <v>131</v>
      </c>
    </row>
    <row r="43" spans="1:12" x14ac:dyDescent="0.25">
      <c r="A43" s="77" t="s">
        <v>12</v>
      </c>
      <c r="B43" s="16"/>
      <c r="C43" s="7"/>
      <c r="D43" s="16"/>
      <c r="E43" s="16"/>
      <c r="F43" s="12">
        <f>input!E69</f>
        <v>3500</v>
      </c>
      <c r="G43" s="27">
        <f>input!E69/B6</f>
        <v>11.666666666666666</v>
      </c>
      <c r="H43" s="36" t="s">
        <v>132</v>
      </c>
    </row>
    <row r="44" spans="1:12" x14ac:dyDescent="0.25">
      <c r="A44" s="77" t="s">
        <v>88</v>
      </c>
      <c r="B44" s="16"/>
      <c r="C44" s="7"/>
      <c r="D44" s="16"/>
      <c r="E44" s="16"/>
      <c r="F44" s="47">
        <f>input!E72</f>
        <v>1900</v>
      </c>
      <c r="G44" s="27">
        <f>input!E72/B6</f>
        <v>6.333333333333333</v>
      </c>
      <c r="H44" s="36" t="s">
        <v>135</v>
      </c>
    </row>
    <row r="45" spans="1:12" x14ac:dyDescent="0.25">
      <c r="A45" s="77" t="s">
        <v>13</v>
      </c>
      <c r="B45" s="16"/>
      <c r="C45" s="7"/>
      <c r="D45" s="16"/>
      <c r="E45" s="16"/>
      <c r="F45" s="12">
        <f>input!E71</f>
        <v>1800</v>
      </c>
      <c r="G45" s="27">
        <f>input!E71/B6</f>
        <v>6</v>
      </c>
      <c r="H45" s="36" t="s">
        <v>133</v>
      </c>
    </row>
    <row r="46" spans="1:12" x14ac:dyDescent="0.25">
      <c r="A46" s="78" t="s">
        <v>182</v>
      </c>
      <c r="B46" s="16"/>
      <c r="C46" s="7"/>
      <c r="D46" s="16"/>
      <c r="E46" s="16"/>
      <c r="F46" s="12">
        <f>SUM(F37:F45)</f>
        <v>37300</v>
      </c>
      <c r="G46" s="28">
        <f>+(F46/B6)</f>
        <v>124.33333333333333</v>
      </c>
      <c r="H46" s="36" t="s">
        <v>134</v>
      </c>
    </row>
    <row r="47" spans="1:12" x14ac:dyDescent="0.25">
      <c r="A47" s="29"/>
      <c r="B47" s="16"/>
      <c r="C47" s="16"/>
      <c r="D47" s="16"/>
      <c r="E47" s="16"/>
      <c r="F47" s="32"/>
      <c r="G47" s="8"/>
      <c r="H47" s="30"/>
    </row>
    <row r="48" spans="1:12" ht="18.75" x14ac:dyDescent="0.3">
      <c r="A48" s="89" t="s">
        <v>81</v>
      </c>
      <c r="B48" s="16"/>
      <c r="C48" s="17"/>
      <c r="D48" s="16"/>
      <c r="E48" s="16"/>
      <c r="F48" s="33" t="s">
        <v>18</v>
      </c>
      <c r="G48" s="8" t="s">
        <v>35</v>
      </c>
      <c r="H48" s="30"/>
    </row>
    <row r="49" spans="1:8" x14ac:dyDescent="0.25">
      <c r="A49" s="71" t="s">
        <v>89</v>
      </c>
      <c r="B49" s="16"/>
      <c r="C49" s="16"/>
      <c r="D49" s="7"/>
      <c r="E49" s="7"/>
      <c r="F49" s="47">
        <f>input!E80</f>
        <v>2500</v>
      </c>
      <c r="G49" s="27">
        <f>input!E80/B6</f>
        <v>8.3333333333333339</v>
      </c>
      <c r="H49" s="36" t="s">
        <v>136</v>
      </c>
    </row>
    <row r="50" spans="1:8" x14ac:dyDescent="0.25">
      <c r="A50" s="71" t="s">
        <v>14</v>
      </c>
      <c r="B50" s="16"/>
      <c r="C50" s="16"/>
      <c r="D50" s="7"/>
      <c r="E50" s="7"/>
      <c r="F50" s="47">
        <f>input!E82</f>
        <v>4500</v>
      </c>
      <c r="G50" s="27">
        <f>input!E82/B6</f>
        <v>15</v>
      </c>
      <c r="H50" s="36" t="s">
        <v>137</v>
      </c>
    </row>
    <row r="51" spans="1:8" x14ac:dyDescent="0.25">
      <c r="A51" s="71" t="s">
        <v>90</v>
      </c>
      <c r="B51" s="16"/>
      <c r="C51" s="16"/>
      <c r="D51" s="7"/>
      <c r="E51" s="7"/>
      <c r="F51" s="47">
        <f>input!E83</f>
        <v>13200</v>
      </c>
      <c r="G51" s="27">
        <f>F51/B6</f>
        <v>44</v>
      </c>
      <c r="H51" s="36" t="s">
        <v>138</v>
      </c>
    </row>
    <row r="52" spans="1:8" x14ac:dyDescent="0.25">
      <c r="A52" s="79" t="s">
        <v>33</v>
      </c>
      <c r="B52" s="16"/>
      <c r="C52" s="16"/>
      <c r="D52" s="7"/>
      <c r="E52" s="7"/>
      <c r="F52" s="47">
        <f>+F49+F50+F51</f>
        <v>20200</v>
      </c>
      <c r="G52" s="27">
        <f>+(F52/B6)</f>
        <v>67.333333333333329</v>
      </c>
      <c r="H52" s="36" t="s">
        <v>139</v>
      </c>
    </row>
    <row r="53" spans="1:8" x14ac:dyDescent="0.25">
      <c r="A53" s="80" t="s">
        <v>34</v>
      </c>
      <c r="B53" s="16"/>
      <c r="C53" s="16"/>
      <c r="D53" s="7"/>
      <c r="E53" s="7"/>
      <c r="F53" s="47">
        <f>F23+F34+F46+F52</f>
        <v>209077.74857142859</v>
      </c>
      <c r="G53" s="27">
        <f>F53/input!E8</f>
        <v>696.92582857142861</v>
      </c>
      <c r="H53" s="36" t="s">
        <v>140</v>
      </c>
    </row>
    <row r="54" spans="1:8" x14ac:dyDescent="0.25">
      <c r="A54" s="81" t="s">
        <v>37</v>
      </c>
      <c r="B54" s="16"/>
      <c r="C54" s="7"/>
      <c r="D54" s="7"/>
      <c r="E54" s="7"/>
      <c r="F54" s="69">
        <f>F19-F53</f>
        <v>42448.751428571413</v>
      </c>
      <c r="G54" s="48">
        <f>F54/B6</f>
        <v>141.49583809523804</v>
      </c>
      <c r="H54" s="36" t="s">
        <v>157</v>
      </c>
    </row>
    <row r="55" spans="1:8" x14ac:dyDescent="0.25">
      <c r="A55" s="29"/>
      <c r="B55" s="16"/>
      <c r="C55" s="16"/>
      <c r="D55" s="16"/>
      <c r="E55" s="16"/>
      <c r="F55" s="16"/>
      <c r="G55" s="16"/>
      <c r="H55" s="30"/>
    </row>
    <row r="56" spans="1:8" ht="18.75" x14ac:dyDescent="0.3">
      <c r="A56" s="90" t="s">
        <v>79</v>
      </c>
      <c r="C56" s="16"/>
      <c r="D56" s="16"/>
      <c r="E56" s="16"/>
      <c r="F56" s="33"/>
      <c r="G56" s="16"/>
      <c r="H56" s="30"/>
    </row>
    <row r="57" spans="1:8" x14ac:dyDescent="0.25">
      <c r="A57" s="71" t="s">
        <v>67</v>
      </c>
      <c r="B57" s="59">
        <f>((B17+B18+input!E19)/B6)*100</f>
        <v>91.333333333333329</v>
      </c>
      <c r="C57" s="83" t="s">
        <v>68</v>
      </c>
      <c r="D57" s="63">
        <f>F53/B6</f>
        <v>696.92582857142861</v>
      </c>
      <c r="E57" s="7"/>
      <c r="F57" s="8"/>
      <c r="G57" s="8"/>
      <c r="H57" s="34" t="s">
        <v>143</v>
      </c>
    </row>
    <row r="58" spans="1:8" x14ac:dyDescent="0.25">
      <c r="A58" s="71" t="s">
        <v>66</v>
      </c>
      <c r="B58" s="65">
        <f>+((C17*((B17/(B17+B18)))))+(C18*((B18/(B17+B18))))</f>
        <v>542.97348484848487</v>
      </c>
      <c r="C58" s="84" t="s">
        <v>69</v>
      </c>
      <c r="D58" s="63">
        <f>F53/(B17+B18)</f>
        <v>791.96116883116883</v>
      </c>
      <c r="E58" s="7"/>
      <c r="F58" s="8"/>
      <c r="G58" s="8"/>
      <c r="H58" s="35" t="s">
        <v>144</v>
      </c>
    </row>
    <row r="59" spans="1:8" x14ac:dyDescent="0.25">
      <c r="A59" s="71" t="s">
        <v>215</v>
      </c>
      <c r="B59" s="66">
        <f>+((F53-F14-(B6-B7-B8+B9+B10-B6)*input!E29)-(E9-input!E29)*B9)/((B17*C17)+(B18*C18)+(B10*C18))</f>
        <v>1.4740976727870334</v>
      </c>
      <c r="C59" s="16"/>
      <c r="D59" s="16"/>
      <c r="E59" s="7"/>
      <c r="F59" s="8"/>
      <c r="G59" s="16"/>
      <c r="H59" s="36" t="s">
        <v>146</v>
      </c>
    </row>
    <row r="60" spans="1:8" x14ac:dyDescent="0.25">
      <c r="A60" s="82" t="s">
        <v>65</v>
      </c>
      <c r="B60" s="66">
        <f>+((D17*(B17/(B17+B18))))+((D18*(B18/(B17+B18))))</f>
        <v>2.3037878787878787</v>
      </c>
      <c r="C60" s="16"/>
      <c r="D60" s="16"/>
      <c r="E60" s="7"/>
      <c r="F60" s="16"/>
      <c r="G60" s="16"/>
      <c r="H60" s="36" t="s">
        <v>145</v>
      </c>
    </row>
    <row r="61" spans="1:8" x14ac:dyDescent="0.25">
      <c r="A61" s="64"/>
      <c r="B61" s="67"/>
      <c r="C61" s="16"/>
      <c r="D61" s="16"/>
      <c r="E61" s="7"/>
      <c r="F61" s="16"/>
      <c r="G61" s="16"/>
      <c r="H61" s="36"/>
    </row>
    <row r="62" spans="1:8" x14ac:dyDescent="0.25">
      <c r="A62" s="71" t="s">
        <v>226</v>
      </c>
      <c r="B62" s="55">
        <f>input!E8+input!E15</f>
        <v>312</v>
      </c>
      <c r="C62" s="16"/>
      <c r="D62" s="16"/>
      <c r="E62" s="7"/>
      <c r="F62" s="16"/>
      <c r="G62" s="16"/>
      <c r="H62" s="30"/>
    </row>
    <row r="63" spans="1:8" x14ac:dyDescent="0.25">
      <c r="A63" s="71" t="s">
        <v>227</v>
      </c>
      <c r="B63" s="55">
        <f>input!E8+input!E10-input!E12-input!E9+input!E15+input!H92</f>
        <v>332</v>
      </c>
      <c r="C63" s="16"/>
      <c r="D63" s="16"/>
      <c r="E63" s="7"/>
      <c r="F63" s="16"/>
      <c r="G63" s="16"/>
      <c r="H63" s="30"/>
    </row>
    <row r="64" spans="1:8" x14ac:dyDescent="0.25">
      <c r="A64" s="88" t="s">
        <v>211</v>
      </c>
      <c r="B64" s="61">
        <f>input!F95</f>
        <v>726741.5</v>
      </c>
      <c r="C64" s="16"/>
      <c r="D64" s="16"/>
      <c r="E64" s="7"/>
      <c r="F64" s="16"/>
      <c r="G64" s="16"/>
      <c r="H64" s="30"/>
    </row>
    <row r="65" spans="1:8" x14ac:dyDescent="0.25">
      <c r="A65" s="71" t="s">
        <v>212</v>
      </c>
      <c r="B65" s="68">
        <f>input!K95</f>
        <v>762741.5</v>
      </c>
      <c r="C65" s="85" t="s">
        <v>225</v>
      </c>
      <c r="D65" s="86"/>
      <c r="E65" s="70"/>
      <c r="F65" s="69">
        <f>F54+(B65-B64)</f>
        <v>78448.751428571413</v>
      </c>
      <c r="G65" s="16"/>
      <c r="H65" s="30"/>
    </row>
    <row r="66" spans="1:8" ht="15.75" thickBot="1" x14ac:dyDescent="0.3">
      <c r="A66" s="19"/>
      <c r="B66" s="20"/>
      <c r="C66" s="37"/>
      <c r="D66" s="37"/>
      <c r="E66" s="37"/>
      <c r="F66" s="37"/>
      <c r="G66" s="37"/>
      <c r="H66" s="38"/>
    </row>
    <row r="67" spans="1:8" x14ac:dyDescent="0.25">
      <c r="H67" s="7"/>
    </row>
  </sheetData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output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John.Dhuyvetter</dc:creator>
  <cp:lastModifiedBy>Richard.Taylor</cp:lastModifiedBy>
  <cp:lastPrinted>2014-09-29T14:51:01Z</cp:lastPrinted>
  <dcterms:created xsi:type="dcterms:W3CDTF">2014-02-27T18:48:10Z</dcterms:created>
  <dcterms:modified xsi:type="dcterms:W3CDTF">2015-01-07T15:41:54Z</dcterms:modified>
</cp:coreProperties>
</file>